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https://hvhl-my.sharepoint.com/personal/elmo_vandenbeld_hvhl_nl/Documents/LWM3/LWM3P1+2/WENR/MODELLEN/"/>
    </mc:Choice>
  </mc:AlternateContent>
  <xr:revisionPtr revIDLastSave="15013" documentId="11_F25DC773A252ABDACC1048EF291F71725BDE58E7" xr6:coauthVersionLast="45" xr6:coauthVersionMax="46" xr10:uidLastSave="{3FBF030A-986F-496B-AB47-19C6AACF3108}"/>
  <bookViews>
    <workbookView xWindow="-120" yWindow="-120" windowWidth="29040" windowHeight="15840" activeTab="5" xr2:uid="{00000000-000D-0000-FFFF-FFFF00000000}"/>
  </bookViews>
  <sheets>
    <sheet name="Instructie" sheetId="44" r:id="rId1"/>
    <sheet name="Invoer locatiegegevens" sheetId="45" r:id="rId2"/>
    <sheet name="Invoer factoren" sheetId="47" r:id="rId3"/>
    <sheet name="Ambitie klimaatadaptatie" sheetId="48" r:id="rId4"/>
    <sheet name="Advies" sheetId="46" r:id="rId5"/>
    <sheet name="Reken" sheetId="30" r:id="rId6"/>
  </sheets>
  <definedNames>
    <definedName name="Neerslag">Reken!$A$40:$O$49</definedName>
    <definedName name="t_10">Reken!$F$40:$F$49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2" i="30" l="1"/>
  <c r="S62" i="30"/>
  <c r="S64" i="30"/>
  <c r="R10" i="30"/>
  <c r="R9" i="30"/>
  <c r="B29" i="30"/>
  <c r="B28" i="30"/>
  <c r="T86" i="30"/>
  <c r="T87" i="30"/>
  <c r="T88" i="30"/>
  <c r="T89" i="30"/>
  <c r="T85" i="30"/>
  <c r="T75" i="30"/>
  <c r="T76" i="30"/>
  <c r="T77" i="30"/>
  <c r="T78" i="30"/>
  <c r="T79" i="30"/>
  <c r="T80" i="30"/>
  <c r="T81" i="30"/>
  <c r="T74" i="30"/>
  <c r="T70" i="30"/>
  <c r="T69" i="30"/>
  <c r="T64" i="30"/>
  <c r="T63" i="30"/>
  <c r="T65" i="30"/>
  <c r="T62" i="30"/>
  <c r="R6" i="30"/>
  <c r="B33" i="30"/>
  <c r="R31" i="30" l="1"/>
  <c r="E14" i="46" s="1"/>
  <c r="Q57" i="30"/>
  <c r="A33" i="46" s="1" a="1"/>
  <c r="A33" i="46" s="1"/>
  <c r="A40" i="46" l="1" a="1"/>
  <c r="A40" i="46" s="1"/>
  <c r="C40" i="46" a="1"/>
  <c r="C40" i="46" s="1"/>
  <c r="C33" i="46" a="1"/>
  <c r="C33" i="46" s="1"/>
  <c r="A16" i="46" l="1"/>
  <c r="A13" i="46"/>
  <c r="B5" i="46" l="1"/>
  <c r="B377" i="30"/>
  <c r="B376" i="30"/>
  <c r="B351" i="30"/>
  <c r="B350" i="30"/>
  <c r="B325" i="30"/>
  <c r="B324" i="30"/>
  <c r="B297" i="30"/>
  <c r="B296" i="30"/>
  <c r="B268" i="30"/>
  <c r="B267" i="30"/>
  <c r="B242" i="30"/>
  <c r="B241" i="30"/>
  <c r="B208" i="30"/>
  <c r="B207" i="30"/>
  <c r="B176" i="30"/>
  <c r="B175" i="30"/>
  <c r="B138" i="30"/>
  <c r="B137" i="30"/>
  <c r="B114" i="30"/>
  <c r="B113" i="30"/>
  <c r="B87" i="30"/>
  <c r="B86" i="30"/>
  <c r="B65" i="30"/>
  <c r="B64" i="30"/>
  <c r="B323" i="30"/>
  <c r="B379" i="30"/>
  <c r="B375" i="30"/>
  <c r="B367" i="30"/>
  <c r="B368" i="30"/>
  <c r="B327" i="30"/>
  <c r="B35" i="45" l="1"/>
  <c r="B11" i="45"/>
  <c r="B230" i="30" l="1"/>
  <c r="B349" i="30"/>
  <c r="B342" i="30"/>
  <c r="B295" i="30"/>
  <c r="B266" i="30"/>
  <c r="B240" i="30"/>
  <c r="B163" i="30"/>
  <c r="B165" i="30"/>
  <c r="B353" i="30"/>
  <c r="B340" i="30"/>
  <c r="B338" i="30"/>
  <c r="B343" i="30" s="1"/>
  <c r="B299" i="30"/>
  <c r="B283" i="30"/>
  <c r="B270" i="30"/>
  <c r="B244" i="30"/>
  <c r="B166" i="30"/>
  <c r="B178" i="30"/>
  <c r="B174" i="30"/>
  <c r="B140" i="30"/>
  <c r="B136" i="30"/>
  <c r="B129" i="30"/>
  <c r="B130" i="30" s="1"/>
  <c r="B116" i="30"/>
  <c r="B112" i="30"/>
  <c r="B89" i="30"/>
  <c r="B85" i="30"/>
  <c r="B67" i="30"/>
  <c r="B63" i="30"/>
  <c r="B206" i="30"/>
  <c r="B198" i="30"/>
  <c r="B210" i="30"/>
  <c r="B199" i="30"/>
  <c r="A22" i="46" l="1" a="1"/>
  <c r="A22" i="46" s="1"/>
  <c r="B22" i="46" l="1" a="1"/>
  <c r="B22" i="46" s="1"/>
  <c r="A19" i="46"/>
  <c r="C32" i="30"/>
  <c r="B284" i="30" l="1"/>
  <c r="B285" i="30"/>
  <c r="B42" i="30" l="1"/>
  <c r="B43" i="30"/>
  <c r="B44" i="30"/>
  <c r="B45" i="30"/>
  <c r="B46" i="30"/>
  <c r="B47" i="30"/>
  <c r="B48" i="30"/>
  <c r="B49" i="30"/>
  <c r="E33" i="30" l="1"/>
  <c r="F33" i="30"/>
  <c r="G33" i="30"/>
  <c r="H33" i="30"/>
  <c r="B25" i="30" s="1"/>
  <c r="I33" i="30"/>
  <c r="J33" i="30"/>
  <c r="D33" i="30"/>
  <c r="C33" i="30"/>
  <c r="B131" i="30"/>
  <c r="R26" i="30" l="1"/>
  <c r="R27" i="30"/>
  <c r="R28" i="30"/>
  <c r="R29" i="30"/>
  <c r="R25" i="30"/>
  <c r="R21" i="30"/>
  <c r="R16" i="30"/>
  <c r="R17" i="30"/>
  <c r="R18" i="30"/>
  <c r="R19" i="30"/>
  <c r="R15" i="30"/>
  <c r="R20" i="30" l="1"/>
  <c r="R30" i="30"/>
  <c r="R7" i="30" l="1"/>
  <c r="F77" i="30" s="1"/>
  <c r="B84" i="30" s="1"/>
  <c r="B27" i="30"/>
  <c r="R33" i="30"/>
  <c r="R32" i="30"/>
  <c r="R8" i="30"/>
  <c r="E35" i="30"/>
  <c r="D35" i="30"/>
  <c r="C34" i="30"/>
  <c r="F35" i="30"/>
  <c r="F34" i="30"/>
  <c r="E34" i="30"/>
  <c r="D34" i="30"/>
  <c r="C35" i="30"/>
  <c r="J34" i="30"/>
  <c r="J35" i="30"/>
  <c r="B35" i="30"/>
  <c r="B34" i="30"/>
  <c r="H35" i="30"/>
  <c r="H34" i="30"/>
  <c r="I35" i="30"/>
  <c r="I34" i="30"/>
  <c r="G35" i="30"/>
  <c r="G34" i="30"/>
  <c r="R22" i="30"/>
  <c r="F364" i="30" l="1"/>
  <c r="D15" i="46"/>
  <c r="F363" i="30"/>
  <c r="F153" i="30"/>
  <c r="F194" i="30"/>
  <c r="F226" i="30"/>
  <c r="F279" i="30"/>
  <c r="F308" i="30"/>
  <c r="F336" i="30"/>
  <c r="F253" i="30"/>
  <c r="F309" i="30"/>
  <c r="B101" i="30"/>
  <c r="B105" i="30" s="1"/>
  <c r="B78" i="30"/>
  <c r="B80" i="30" s="1"/>
  <c r="B36" i="30"/>
  <c r="B55" i="30"/>
  <c r="B57" i="30" s="1"/>
  <c r="D36" i="30"/>
  <c r="J36" i="30"/>
  <c r="I36" i="30"/>
  <c r="E36" i="30"/>
  <c r="C36" i="30"/>
  <c r="G36" i="30"/>
  <c r="H36" i="30"/>
  <c r="F36" i="30"/>
  <c r="B104" i="30" l="1"/>
  <c r="B107" i="30" s="1"/>
  <c r="B322" i="30" l="1"/>
  <c r="B374" i="30"/>
  <c r="B348" i="30"/>
  <c r="B355" i="30" s="1"/>
  <c r="B9" i="46"/>
  <c r="F337" i="30"/>
  <c r="B294" i="30"/>
  <c r="B301" i="30" s="1"/>
  <c r="F254" i="30"/>
  <c r="F280" i="30"/>
  <c r="B239" i="30"/>
  <c r="F227" i="30"/>
  <c r="B205" i="30"/>
  <c r="F154" i="30"/>
  <c r="F195" i="30"/>
  <c r="B8" i="46"/>
  <c r="B173" i="30"/>
  <c r="F100" i="30"/>
  <c r="F125" i="30"/>
  <c r="F54" i="30"/>
  <c r="B7" i="46"/>
  <c r="B246" i="30" l="1"/>
  <c r="B247" i="30" s="1"/>
  <c r="B300" i="30"/>
  <c r="J14" i="30"/>
  <c r="S75" i="30" s="1"/>
  <c r="B303" i="30"/>
  <c r="M14" i="30" s="1"/>
  <c r="B304" i="30"/>
  <c r="N14" i="30" s="1"/>
  <c r="B358" i="30"/>
  <c r="M16" i="30" s="1"/>
  <c r="B357" i="30"/>
  <c r="L16" i="30" s="1"/>
  <c r="B359" i="30"/>
  <c r="N16" i="30" s="1"/>
  <c r="B249" i="30"/>
  <c r="N12" i="30" s="1"/>
  <c r="B332" i="30"/>
  <c r="N15" i="30" s="1"/>
  <c r="B331" i="30"/>
  <c r="M15" i="30" s="1"/>
  <c r="B330" i="30"/>
  <c r="L15" i="30" s="1"/>
  <c r="B381" i="30"/>
  <c r="B380" i="30" s="1"/>
  <c r="B382" i="30"/>
  <c r="J17" i="30" s="1"/>
  <c r="B183" i="30"/>
  <c r="N10" i="30" s="1"/>
  <c r="B182" i="30"/>
  <c r="M10" i="30" s="1"/>
  <c r="B329" i="30"/>
  <c r="J15" i="30" s="1"/>
  <c r="B328" i="30"/>
  <c r="B212" i="30"/>
  <c r="B213" i="30"/>
  <c r="J11" i="30" s="1"/>
  <c r="B356" i="30"/>
  <c r="J16" i="30" s="1"/>
  <c r="L12" i="30"/>
  <c r="B302" i="30"/>
  <c r="L14" i="30" s="1"/>
  <c r="B265" i="30"/>
  <c r="B167" i="30"/>
  <c r="B168" i="30" s="1"/>
  <c r="B180" i="30" s="1"/>
  <c r="B164" i="30"/>
  <c r="B91" i="30"/>
  <c r="J7" i="30" s="1"/>
  <c r="B111" i="30"/>
  <c r="B118" i="30" s="1"/>
  <c r="J8" i="30" s="1"/>
  <c r="B181" i="30"/>
  <c r="L10" i="30" s="1"/>
  <c r="B135" i="30"/>
  <c r="B62" i="30"/>
  <c r="B69" i="30" s="1"/>
  <c r="J6" i="30" s="1"/>
  <c r="V64" i="30" l="1"/>
  <c r="S76" i="30"/>
  <c r="V76" i="30" s="1"/>
  <c r="S87" i="30"/>
  <c r="V87" i="30" s="1"/>
  <c r="S79" i="30"/>
  <c r="V79" i="30" s="1"/>
  <c r="J10" i="30"/>
  <c r="S74" i="30" s="1"/>
  <c r="V74" i="30" s="1"/>
  <c r="S88" i="30"/>
  <c r="V88" i="30" s="1"/>
  <c r="S80" i="30"/>
  <c r="V80" i="30" s="1"/>
  <c r="S86" i="30"/>
  <c r="V86" i="30" s="1"/>
  <c r="S78" i="30"/>
  <c r="S63" i="30"/>
  <c r="S70" i="30"/>
  <c r="S69" i="30"/>
  <c r="V69" i="30" s="1"/>
  <c r="B248" i="30"/>
  <c r="M12" i="30" s="1"/>
  <c r="O12" i="30" s="1"/>
  <c r="U65" i="30" s="1"/>
  <c r="B245" i="30"/>
  <c r="J12" i="30"/>
  <c r="O15" i="30"/>
  <c r="O16" i="30"/>
  <c r="U76" i="30" s="1"/>
  <c r="O10" i="30"/>
  <c r="U74" i="30" s="1"/>
  <c r="O14" i="30"/>
  <c r="U75" i="30" s="1"/>
  <c r="V63" i="30"/>
  <c r="V70" i="30"/>
  <c r="V78" i="30"/>
  <c r="B273" i="30"/>
  <c r="B269" i="30" s="1"/>
  <c r="B274" i="30"/>
  <c r="M13" i="30" s="1"/>
  <c r="B275" i="30"/>
  <c r="N13" i="30" s="1"/>
  <c r="B272" i="30"/>
  <c r="J13" i="30" s="1"/>
  <c r="B384" i="30"/>
  <c r="M17" i="30" s="1"/>
  <c r="B383" i="30"/>
  <c r="L17" i="30" s="1"/>
  <c r="B385" i="30"/>
  <c r="N17" i="30" s="1"/>
  <c r="B271" i="30"/>
  <c r="B216" i="30"/>
  <c r="N11" i="30" s="1"/>
  <c r="B215" i="30"/>
  <c r="M11" i="30" s="1"/>
  <c r="B214" i="30"/>
  <c r="L11" i="30" s="1"/>
  <c r="B326" i="30"/>
  <c r="B121" i="30"/>
  <c r="N8" i="30" s="1"/>
  <c r="B120" i="30"/>
  <c r="M8" i="30" s="1"/>
  <c r="B93" i="30"/>
  <c r="M7" i="30" s="1"/>
  <c r="B94" i="30"/>
  <c r="N7" i="30" s="1"/>
  <c r="B72" i="30"/>
  <c r="N6" i="30" s="1"/>
  <c r="B71" i="30"/>
  <c r="M6" i="30" s="1"/>
  <c r="O6" i="30" s="1"/>
  <c r="B70" i="30"/>
  <c r="L6" i="30" s="1"/>
  <c r="B142" i="30"/>
  <c r="J9" i="30" s="1"/>
  <c r="B143" i="30"/>
  <c r="L9" i="30" s="1"/>
  <c r="B145" i="30"/>
  <c r="N9" i="30" s="1"/>
  <c r="B144" i="30"/>
  <c r="M9" i="30" s="1"/>
  <c r="B243" i="30"/>
  <c r="B354" i="30"/>
  <c r="B92" i="30"/>
  <c r="L7" i="30" s="1"/>
  <c r="B179" i="30"/>
  <c r="B352" i="30"/>
  <c r="B211" i="30"/>
  <c r="B177" i="30"/>
  <c r="B68" i="30"/>
  <c r="B119" i="30"/>
  <c r="L8" i="30" s="1"/>
  <c r="B117" i="30"/>
  <c r="B90" i="30"/>
  <c r="B141" i="30"/>
  <c r="S77" i="30" l="1"/>
  <c r="S85" i="30"/>
  <c r="V85" i="30" s="1"/>
  <c r="U62" i="30"/>
  <c r="U69" i="30"/>
  <c r="S65" i="30"/>
  <c r="V65" i="30" s="1"/>
  <c r="D33" i="46" s="1" a="1"/>
  <c r="D33" i="46" s="1"/>
  <c r="S89" i="30"/>
  <c r="S81" i="30"/>
  <c r="U78" i="30"/>
  <c r="U86" i="30"/>
  <c r="O8" i="30"/>
  <c r="O13" i="30"/>
  <c r="O11" i="30"/>
  <c r="U64" i="30" s="1"/>
  <c r="O7" i="30"/>
  <c r="O17" i="30"/>
  <c r="V77" i="30"/>
  <c r="O9" i="30"/>
  <c r="L13" i="30"/>
  <c r="B378" i="30"/>
  <c r="B209" i="30"/>
  <c r="B66" i="30"/>
  <c r="B88" i="30"/>
  <c r="B139" i="30"/>
  <c r="B115" i="30"/>
  <c r="U87" i="30" l="1"/>
  <c r="U79" i="30"/>
  <c r="U85" i="30"/>
  <c r="U77" i="30"/>
  <c r="U88" i="30"/>
  <c r="U80" i="30"/>
  <c r="U63" i="30"/>
  <c r="U70" i="30"/>
  <c r="U89" i="30"/>
  <c r="U81" i="30"/>
  <c r="B33" i="46" a="1"/>
  <c r="B33" i="46" s="1"/>
  <c r="G33" i="46" l="1" a="1"/>
  <c r="G33" i="4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<sst xmlns="http://schemas.openxmlformats.org/spreadsheetml/2006/main" count="904" uniqueCount="317">
  <si>
    <t>Nr.</t>
  </si>
  <si>
    <t>Per</t>
  </si>
  <si>
    <t>m2</t>
  </si>
  <si>
    <t>m3</t>
  </si>
  <si>
    <t>Neerslag</t>
  </si>
  <si>
    <t>Daken</t>
  </si>
  <si>
    <t>T =</t>
  </si>
  <si>
    <t>Lengte</t>
  </si>
  <si>
    <t>m</t>
  </si>
  <si>
    <t>Breedte</t>
  </si>
  <si>
    <t>mm</t>
  </si>
  <si>
    <t>uur</t>
  </si>
  <si>
    <t>Totaal</t>
  </si>
  <si>
    <t>Oppervlak</t>
  </si>
  <si>
    <t>Tijd (uren)</t>
  </si>
  <si>
    <t>Neerslag (mm)</t>
  </si>
  <si>
    <t>Maatregel</t>
  </si>
  <si>
    <t>UITKOMSTEN</t>
  </si>
  <si>
    <t>Prijs per m3</t>
  </si>
  <si>
    <t>Dak</t>
  </si>
  <si>
    <t>-</t>
  </si>
  <si>
    <t>Gegevens groendak</t>
  </si>
  <si>
    <t>Substraatlaag</t>
  </si>
  <si>
    <t>Maximale berging substraat</t>
  </si>
  <si>
    <t>Bergingscoefficient</t>
  </si>
  <si>
    <t>EINDSITUATIE</t>
  </si>
  <si>
    <t>Wateraanbod</t>
  </si>
  <si>
    <t>Prijs per eenheid</t>
  </si>
  <si>
    <t>Gegevens blauwdak</t>
  </si>
  <si>
    <t>Maximale waterhoogte</t>
  </si>
  <si>
    <t>Gegevens groenblauwdak</t>
  </si>
  <si>
    <t>Drainagelaag</t>
  </si>
  <si>
    <t>Maximale berging drainage</t>
  </si>
  <si>
    <t>Gegevens regenton</t>
  </si>
  <si>
    <t>Hoogte</t>
  </si>
  <si>
    <t>Inhoud per stuk</t>
  </si>
  <si>
    <t>Infiltrerend oppervlak</t>
  </si>
  <si>
    <t>Talud 1:</t>
  </si>
  <si>
    <t>Max bodemdiepte</t>
  </si>
  <si>
    <t>Bodembreedte</t>
  </si>
  <si>
    <t>Nat oppervlak</t>
  </si>
  <si>
    <t>Gegevens opslagvoorziening</t>
  </si>
  <si>
    <t>Vergrotingsfactor</t>
  </si>
  <si>
    <t>Hoogte opslagzak</t>
  </si>
  <si>
    <t>Minuten</t>
  </si>
  <si>
    <t>Uren</t>
  </si>
  <si>
    <t>Binnentuin</t>
  </si>
  <si>
    <t>%</t>
  </si>
  <si>
    <t>Situatie</t>
  </si>
  <si>
    <t>Tijdsinterval</t>
  </si>
  <si>
    <t>m1</t>
  </si>
  <si>
    <t>liter</t>
  </si>
  <si>
    <t>Gegevens kratten</t>
  </si>
  <si>
    <t>Afmeting</t>
  </si>
  <si>
    <t>stuks</t>
  </si>
  <si>
    <t>Vulling krat</t>
  </si>
  <si>
    <t>Wandfactor</t>
  </si>
  <si>
    <t>Gegevens wadi</t>
  </si>
  <si>
    <t>Gegevens grindkoffer</t>
  </si>
  <si>
    <t>Diepte</t>
  </si>
  <si>
    <t>Gegevens infiltratieput</t>
  </si>
  <si>
    <t>Infiltrerend oppervlak per stuk</t>
  </si>
  <si>
    <t>Infiltrerend oppervlak totaal</t>
  </si>
  <si>
    <t>Diameter</t>
  </si>
  <si>
    <t>Oppervlak doorsnede</t>
  </si>
  <si>
    <t>Omtrek</t>
  </si>
  <si>
    <t>€</t>
  </si>
  <si>
    <t>Neerslag daken(m3)</t>
  </si>
  <si>
    <t>Neerslag binnentuin(m3)</t>
  </si>
  <si>
    <t>Neerslag totaal (m3)</t>
  </si>
  <si>
    <t>stuk</t>
  </si>
  <si>
    <t>Onderhoudskosten per eenheid</t>
  </si>
  <si>
    <t>Totale onderhoudskosten per jaar</t>
  </si>
  <si>
    <t>Instructie</t>
  </si>
  <si>
    <t>Dit model is bedoeld om aan de hand van enkele locatiegegevens van een terrein snel een inzicht te kunnen geven over de soorten toepasbare maatregelen en de hieraan gekoppelde wateropgave die het kan oplossen samen met een algemeen inzicht van de kosten.</t>
  </si>
  <si>
    <t>Leeswijzer:</t>
  </si>
  <si>
    <t>Invoer locatiegegevens</t>
  </si>
  <si>
    <t>Advies</t>
  </si>
  <si>
    <t>Rekenmodel</t>
  </si>
  <si>
    <r>
      <t xml:space="preserve">Op dit tabblad huizen alle modelmatige berekeningen en dient </t>
    </r>
    <r>
      <rPr>
        <u/>
        <sz val="11"/>
        <color theme="1"/>
        <rFont val="Calibri"/>
        <family val="2"/>
        <scheme val="minor"/>
      </rPr>
      <t>niet</t>
    </r>
    <r>
      <rPr>
        <sz val="11"/>
        <color theme="1"/>
        <rFont val="Calibri"/>
        <family val="2"/>
        <scheme val="minor"/>
      </rPr>
      <t xml:space="preserve"> aangepast te worden.</t>
    </r>
  </si>
  <si>
    <t>FIGUUR 1: Schematische weergave wijkblok met maatregelen.</t>
  </si>
  <si>
    <t>Het oppervlak van de daken:</t>
  </si>
  <si>
    <t>Dak 2:</t>
  </si>
  <si>
    <t>Dak 3:</t>
  </si>
  <si>
    <t>Dak 4:</t>
  </si>
  <si>
    <t>Dak 1:</t>
  </si>
  <si>
    <t>Dak 5:</t>
  </si>
  <si>
    <t>Totaal:</t>
  </si>
  <si>
    <t>Beschikbaarheidsfactor:</t>
  </si>
  <si>
    <t>Het oppervlak van de tuinen:</t>
  </si>
  <si>
    <t>Tuin 1:</t>
  </si>
  <si>
    <t>Tuin 2:</t>
  </si>
  <si>
    <t>Tuin 3:</t>
  </si>
  <si>
    <t>Tuin 4:</t>
  </si>
  <si>
    <t>Tuin 5:</t>
  </si>
  <si>
    <t>m3 water</t>
  </si>
  <si>
    <t>op de daken</t>
  </si>
  <si>
    <t>op de tuinen</t>
  </si>
  <si>
    <t>in totaal</t>
  </si>
  <si>
    <t>m3 water,</t>
  </si>
  <si>
    <t>m3 water en</t>
  </si>
  <si>
    <t>Tuinen</t>
  </si>
  <si>
    <t>Beschikfactor:</t>
  </si>
  <si>
    <t>Oppervlak beschikbaar</t>
  </si>
  <si>
    <t>Inhoud per krat</t>
  </si>
  <si>
    <t>Kratten nodig</t>
  </si>
  <si>
    <t>Opp per krat</t>
  </si>
  <si>
    <t>Inhoud per meter</t>
  </si>
  <si>
    <t>Kosten voor 100%</t>
  </si>
  <si>
    <t>Nodig voor 100%</t>
  </si>
  <si>
    <t>Eenheid</t>
  </si>
  <si>
    <t>Reken</t>
  </si>
  <si>
    <r>
      <t xml:space="preserve">Dit gedeelte dient </t>
    </r>
    <r>
      <rPr>
        <u/>
        <sz val="11"/>
        <color theme="1"/>
        <rFont val="Calibri"/>
        <family val="2"/>
        <scheme val="minor"/>
      </rPr>
      <t>niet</t>
    </r>
    <r>
      <rPr>
        <sz val="11"/>
        <color theme="1"/>
        <rFont val="Calibri"/>
        <family val="2"/>
        <scheme val="minor"/>
      </rPr>
      <t xml:space="preserve"> bewerkt te worden</t>
    </r>
  </si>
  <si>
    <t>Opties</t>
  </si>
  <si>
    <t>JA</t>
  </si>
  <si>
    <t>NEE</t>
  </si>
  <si>
    <t>Invoer factoren</t>
  </si>
  <si>
    <t>Ambitie klimaatadaptatie</t>
  </si>
  <si>
    <t>Het bestaande plaatselijke waterbeheer is bepalend voor de mogelijkheden van de type en aanpak van maatregelen.</t>
  </si>
  <si>
    <t>Mijn ambitieniveau voor klimaatadaptatie is:</t>
  </si>
  <si>
    <t>Verhardingsfactor:</t>
  </si>
  <si>
    <t>Een bui van</t>
  </si>
  <si>
    <t>mm in 1 uur</t>
  </si>
  <si>
    <t>Dit is:</t>
  </si>
  <si>
    <t>Advies:</t>
  </si>
  <si>
    <t>Beantwoordt de volgende vragen voor de standaardsituatie:</t>
  </si>
  <si>
    <t>Maatregelen:</t>
  </si>
  <si>
    <t>Al het dakwater wordt direct (zijnde het aan de voorkant over de straat of via leidingen) op het riool afgevoerd.</t>
  </si>
  <si>
    <t>Er is een gemengd rioolsysteem aanwezig.</t>
  </si>
  <si>
    <t>Het water dat op de tuinen valt is niet afgekoppeld en stroomt af op het riool.</t>
  </si>
  <si>
    <t>Aannemingen standaardsituatie:</t>
  </si>
  <si>
    <t>Toelichting ambities:</t>
  </si>
  <si>
    <t>Al het dakwater wordt direct op het riool afgevoerd. Er wordt alleen gekeken naar het water dat op de tuinen valt.</t>
  </si>
  <si>
    <t>Hierdoor is de totale wateropgave:</t>
  </si>
  <si>
    <t>Is het dakwater afgekoppeld op de tuin?</t>
  </si>
  <si>
    <t>Heeft de bodem voldoende infiltratiecapaciteit? (VRAGEN HOVENIER/AANNEMER?)</t>
  </si>
  <si>
    <t>- Wadi</t>
  </si>
  <si>
    <t>- Grindkoffer</t>
  </si>
  <si>
    <t>Is er voldoende oppervlak voor bovengrondse maatregelen? (OBSERVATIES GOOGLE EARTH)</t>
  </si>
  <si>
    <t>Heeft het gebied (bijna) jaarlijks te kampen met wateroverlast bij heftige buien of zelfs zonder de aanwezigheid van buien?  (EIGEN INZICHT)</t>
  </si>
  <si>
    <t>Dit model is ingesteld op het voorkomen van wateroverlast door het opvangen van een piekbui dat op de aangegeven tuinen en daken van het beheerde terrein valt.</t>
  </si>
  <si>
    <t>Het verkrijgen van de locatiegegevens duurt ongeveer 10 minuten, de beantwoording van de gebiedsfactoren is afhankelijk van directe beschikbaarheid van gebiedsspecifieke gegevens.</t>
  </si>
  <si>
    <t>Het model is bruikbaar bij de aanvang van bijvoorbeeld een herinrichtingsproject voor woningcorporaties en/of gemeenten om op hoofdlijnen een idee te krijgen voor het oplossen van een wateropgave bij een bepaald ambitieniveau.</t>
  </si>
  <si>
    <t>Het model genereert een advies waarin wordt laten zien; de praktische wateropgave bij een bepaald ambitieniveau, een set maatregelen die op basis van gebiedsfactoren op hydrologische gronden voordelig zijn, de ruwe afmeting en aanlegkosten van deze maatregelen.</t>
  </si>
  <si>
    <t>Op dit tabblad wordt gevraagd locatiegegevens in te vullen die relateren aan oppervlakken die nodig zijn voor het uitrekenen van de praktische wateropgave.</t>
  </si>
  <si>
    <t>Op dit tabblad worden diverse vragen over het plaatselijke waterbeheer gesteld die uitkomen tot een set geprefereerde maatregelen.</t>
  </si>
  <si>
    <t>Op dit tabblad wordt gevraagd een ambitieniveau in te stellen voor klimaatadaptatie die gekoppeld is aan een bepaalde regenbui.</t>
  </si>
  <si>
    <t>Op dit tabblad wordt op basis van de ingevoerde gegevens het advies gepresenteerd.</t>
  </si>
  <si>
    <t>Hiervoor kan de tool in Google Earth gebruikt worden (https://www.google.nl/intl/nl/earth/)</t>
  </si>
  <si>
    <t>Zoek het betreffende terrein met de zoekfunctie:</t>
  </si>
  <si>
    <t>Meet de oppervlakten met de meetfunctie:</t>
  </si>
  <si>
    <t>Bovenbreedte</t>
  </si>
  <si>
    <t>Lengte nodig voor wateropgave</t>
  </si>
  <si>
    <t>Opp nodig voor wateropgave</t>
  </si>
  <si>
    <t>Tuinwater:</t>
  </si>
  <si>
    <t>Dakwater:</t>
  </si>
  <si>
    <t>Oppervlak max</t>
  </si>
  <si>
    <t>Maximale berging</t>
  </si>
  <si>
    <t>Totale maximale berging</t>
  </si>
  <si>
    <t>Stuks nodig voor wateropgave</t>
  </si>
  <si>
    <t>Kosten wateropgave</t>
  </si>
  <si>
    <t>Hoe hoog? (X)</t>
  </si>
  <si>
    <t>Inhoud (X) kratten op elkaar</t>
  </si>
  <si>
    <t>Stuks nodig indien (X) hoog</t>
  </si>
  <si>
    <t>Opp nodig indien (X) hoog</t>
  </si>
  <si>
    <t>Opp per meter</t>
  </si>
  <si>
    <t>INVOER MODEL</t>
  </si>
  <si>
    <t>Inhoud per m2</t>
  </si>
  <si>
    <t>Op dit tabblad wordt gevraagd locatiegegevens in te vullen die relateren aan oppervlakken die nodig zijn voor het uitrekenen van de praktische hoeveelheid water dat verwacht mag worden.</t>
  </si>
  <si>
    <t>Vul de volgende gegevens in:</t>
  </si>
  <si>
    <t xml:space="preserve">Het model richt zich op de algemene wateropgave met een aanname dat het water van de voortuinen op het riool afstroomd. </t>
  </si>
  <si>
    <t>Neem hiervoor dus alleen de oppervlakken van de achtertuinen.</t>
  </si>
  <si>
    <t>Gebruik hiervoor de meet tool van Google Earth indien nodig.</t>
  </si>
  <si>
    <t>Deze vraag heeft effect op het te kiezen ambitieniveau klimaatadaptatie. Indien er bijna jaarlijks wateroverlast is kiest het model automatisch Ambitieniveau Woningbouw Oud, omdat de huidige situatie dit niveau nog niet haalt.</t>
  </si>
  <si>
    <t>Deze vraag heeft effect op het type maatregelen dat het model kiest voor berekening. Indien er voldoende oppervlak is voor bovengrondse groene maatregelen worden deze gekozen, omdat deze goedkoper zijn en meer voordelen met zich meebrengen.</t>
  </si>
  <si>
    <t>Indien u overweegt dakwater op af te koppelen op de tuinen kan deze vraag aangevinkt worden zodat het model het dakwater in de berekening meeneemt:</t>
  </si>
  <si>
    <t>Kosten min.</t>
  </si>
  <si>
    <t>Kosten max.</t>
  </si>
  <si>
    <t>Aanlegkosten gemiddeld (€)</t>
  </si>
  <si>
    <t>Dak,Tuin</t>
  </si>
  <si>
    <t>Gegevens IT-riool</t>
  </si>
  <si>
    <t>Kosten wateropgave gem.</t>
  </si>
  <si>
    <t>Kosten wateropgave min.</t>
  </si>
  <si>
    <t>Kosten wateropgave max.</t>
  </si>
  <si>
    <t>Gegevens greppel</t>
  </si>
  <si>
    <t>Prijs per eenheid gem.</t>
  </si>
  <si>
    <t>Prijs per eenheid min</t>
  </si>
  <si>
    <t>Prijs per eenheid max</t>
  </si>
  <si>
    <t>Prijs per eenheid gem</t>
  </si>
  <si>
    <t>Kosten 100% min</t>
  </si>
  <si>
    <t>Kosten 100% max</t>
  </si>
  <si>
    <r>
      <t xml:space="preserve">Het model kijkt naar slechts naar de gevallen regen op de tuinen en de daken en houdt </t>
    </r>
    <r>
      <rPr>
        <u/>
        <sz val="12"/>
        <color theme="1"/>
        <rFont val="Calibri"/>
        <family val="2"/>
        <scheme val="minor"/>
      </rPr>
      <t>geen</t>
    </r>
    <r>
      <rPr>
        <sz val="12"/>
        <color theme="1"/>
        <rFont val="Calibri"/>
        <family val="2"/>
        <scheme val="minor"/>
      </rPr>
      <t xml:space="preserve"> rekening met andere mogelijkheden zoals toestromend water vanaf buiten het aangegeven gebied en drainage.</t>
    </r>
  </si>
  <si>
    <t>Wateroverlast?</t>
  </si>
  <si>
    <t xml:space="preserve">U heeft aangegeven dat het gebied niet bijna jaarlijks te maken heeft met wateroverlast. Dit indiceert dat het gebied in ieder geval voldoende capaciteit heeft om de oude normering en ambitieniveau te halen. </t>
  </si>
  <si>
    <t>Dakwater afgekoppeld?</t>
  </si>
  <si>
    <t>Het dakwater is afgekoppeld en wordt op de tuin afgevoerd. Er wordt gekeken naar het dakwater en het water dat op de tuinen valt.</t>
  </si>
  <si>
    <t>Bovengronds ruimte?</t>
  </si>
  <si>
    <t>U heeft aangegeven dat er relatief veel open ruimte op het terrein is. Hierdoor wordt de voorkeur bij bovengrondse en landscaping maatregelen gelegd, omdat deze in het algemeen goedkoper en inclusiever zijn.</t>
  </si>
  <si>
    <t>U heeft aangegeven dat er relatief weinig open ruimte op het terrein is. Hierdoor wordt de voorkeur bij ondergrondse of anders intern verwerkte maatregelen gelegd, omdat deze veel opslag kunnen bieden zonder enige bruikbare ruimte in te nemen.</t>
  </si>
  <si>
    <t>Infiltratiecapaciteit?</t>
  </si>
  <si>
    <t>U heeft aangegeven dat de bodem over voldoende infiltratiecapaciteit beschikt. Hierdoor worden infiltrerende maatregelen als extra optie ter vergelijking in het advies meegenomen.</t>
  </si>
  <si>
    <t>U heeft aangegeven dat de bodem niet over voldoende infiltratiecapaciteit beschikt. Hierdoor worden infiltrerende maatregelen niet als extra optie ter vergelijking in het advies meegenomen.</t>
  </si>
  <si>
    <t>Scenario 1</t>
  </si>
  <si>
    <t>Scenario 2</t>
  </si>
  <si>
    <t>Scenario 3</t>
  </si>
  <si>
    <t>Scenario 4</t>
  </si>
  <si>
    <r>
      <t xml:space="preserve">Op basis van de gebiedsfactoren worden </t>
    </r>
    <r>
      <rPr>
        <u/>
        <sz val="11"/>
        <color rgb="FF000000"/>
        <rFont val="Calibri"/>
        <family val="2"/>
        <scheme val="minor"/>
      </rPr>
      <t>bovengrondse bergende en infiltrerende</t>
    </r>
    <r>
      <rPr>
        <sz val="11"/>
        <color theme="1"/>
        <rFont val="Calibri"/>
        <family val="2"/>
        <scheme val="minor"/>
      </rPr>
      <t xml:space="preserve"> maatregelen aangeraden, omdat het gebied veel open ruimte bevat en voldoende infiltratiecapaciteit heeft.</t>
    </r>
  </si>
  <si>
    <r>
      <t xml:space="preserve">Op basis van de gebiedsfactoren worden </t>
    </r>
    <r>
      <rPr>
        <u/>
        <sz val="11"/>
        <color theme="1"/>
        <rFont val="Calibri"/>
        <family val="2"/>
        <scheme val="minor"/>
      </rPr>
      <t>bovengrondse bergende</t>
    </r>
    <r>
      <rPr>
        <sz val="11"/>
        <color theme="1"/>
        <rFont val="Calibri"/>
        <family val="2"/>
        <scheme val="minor"/>
      </rPr>
      <t xml:space="preserve"> maatregelen aangeraden, omdat het gebied veel open ruimte heeft en onvoldoende infiltratiecapaciteit heeft.</t>
    </r>
  </si>
  <si>
    <r>
      <t xml:space="preserve">Op basis van de gebiedsfactoren worden </t>
    </r>
    <r>
      <rPr>
        <u/>
        <sz val="11"/>
        <color theme="1"/>
        <rFont val="Calibri"/>
        <family val="2"/>
        <scheme val="minor"/>
      </rPr>
      <t>ondergrondse bergende en infiltrerende</t>
    </r>
    <r>
      <rPr>
        <sz val="11"/>
        <color theme="1"/>
        <rFont val="Calibri"/>
        <family val="2"/>
        <scheme val="minor"/>
      </rPr>
      <t xml:space="preserve"> maatregelen aangeraden, omdat het gebied weinig open ruimte bevat en voldoende infiltratiecapaciteit heeft.</t>
    </r>
  </si>
  <si>
    <r>
      <t xml:space="preserve">"Op basis van de gebiedsfactoren worden </t>
    </r>
    <r>
      <rPr>
        <u/>
        <sz val="11"/>
        <color theme="1"/>
        <rFont val="Calibri"/>
        <family val="2"/>
        <scheme val="minor"/>
      </rPr>
      <t>ondergrondse bergende</t>
    </r>
    <r>
      <rPr>
        <sz val="11"/>
        <color theme="1"/>
        <rFont val="Calibri"/>
        <family val="2"/>
        <scheme val="minor"/>
      </rPr>
      <t xml:space="preserve"> maatregelen aangeraden, omdat het gebied over weinig open ruimte bevat en onvoldoende infiltratiecapaciteit heeft."</t>
    </r>
  </si>
  <si>
    <t>Maatregelen</t>
  </si>
  <si>
    <t>- Waterplein</t>
  </si>
  <si>
    <t>- Greppel</t>
  </si>
  <si>
    <t>- Infiltratiekrat</t>
  </si>
  <si>
    <t>- Infiltratieput</t>
  </si>
  <si>
    <t>- IT-riool</t>
  </si>
  <si>
    <t>- Opslagvoorziening</t>
  </si>
  <si>
    <r>
      <t xml:space="preserve">Onderstaand ziet u op basis van de door u ingevoerde gebiedsfactoren geprefereerde maatregelen. Dit houdt </t>
    </r>
    <r>
      <rPr>
        <u/>
        <sz val="11"/>
        <color theme="1"/>
        <rFont val="Calibri"/>
        <family val="2"/>
        <scheme val="minor"/>
      </rPr>
      <t>niet</t>
    </r>
    <r>
      <rPr>
        <sz val="11"/>
        <color theme="1"/>
        <rFont val="Calibri"/>
        <family val="2"/>
        <scheme val="minor"/>
      </rPr>
      <t xml:space="preserve"> in dat deze maatregelen de enige mogelijk toe te passen maatregelen zijn.</t>
    </r>
  </si>
  <si>
    <t>Advies is om doormiddel van bovengenoemde maatregelen genoeg berging te creeëren om de wateropgave en het ambitieniveau te behalen.</t>
  </si>
  <si>
    <t>Geschatte aanlegkosten:</t>
  </si>
  <si>
    <t>- Groen dak</t>
  </si>
  <si>
    <t>- Blauw dak</t>
  </si>
  <si>
    <t>- Regenton</t>
  </si>
  <si>
    <t>Prijsrange</t>
  </si>
  <si>
    <t>Met het huidige ambitieniveau valt er:</t>
  </si>
  <si>
    <t>Werkelijke wateropgave:</t>
  </si>
  <si>
    <t>Voor het genereren van een antwoord moet informatie worden ingevuld betreft de verschillende type oppervlakken van het betreffende terrein, enkele vragen over bepalende gebiedsfactoren gekoppeld aan het type geprefereerde maatregelen beantwoord worden en tenslotte het invullen van een ambitieniveau voor klimaatadaptatie.</t>
  </si>
  <si>
    <t>Deze vraag heeft effect op het type maatregelen dat het model kiest voor berekening. Voldoende infiltratiecapaciteit is aanwezig indien grondwaterstand niet te hoog is (&lt;1m), het grondtype geschikt is (geprefereerd zand, grind) en indien de grond niet dichtgeslagen is door werkzaamheden.</t>
  </si>
  <si>
    <t>Toelichting vragen standaardsituatie:</t>
  </si>
  <si>
    <t xml:space="preserve">1. Heeft het gebied (bijna) jaarlijks te kampen met wateroverlast bij heftige buien of zelfs zonder de aanwezigheid van buien? </t>
  </si>
  <si>
    <t>2. Is er voldoende oppervlak voor bovengrondse maatregelen?</t>
  </si>
  <si>
    <t>3. Heeft de bodem voldoende infiltratiecapaciteit?</t>
  </si>
  <si>
    <t>Infiltratiecapaciteit kan gecreërt worden door bijvoorbeeld grondverbetering of door peilbeheer. Deze vraag is zeer genuanceert en beschouwd dus ook zo geacht te worden.</t>
  </si>
  <si>
    <t>Indien niet zeker kan deze vraag met JA beantwoordt worden om infiltrerende maatregelen ter vergelijking in het advies mee te nemen.</t>
  </si>
  <si>
    <t>Deze vraag slaat terug op de kwetsbaarheid van het gebied en de bijbehorende urgentie voor klimaatadaptatie.</t>
  </si>
  <si>
    <t>Grondtype</t>
  </si>
  <si>
    <t>Hoeveelheid (mm)</t>
  </si>
  <si>
    <t>Er stroomt niet meer water de tuinen in dan het regen dat valt op de aangegeven oppervlakken.</t>
  </si>
  <si>
    <t>Op dit tabblad wordt een inzicht gegeven in de werkelijke wateropgave, geprefereerde set maatregelen en het eindadvies.</t>
  </si>
  <si>
    <t>Kenmerken</t>
  </si>
  <si>
    <t>(bergend)</t>
  </si>
  <si>
    <t>(bergend, optioneel infiltrerend)</t>
  </si>
  <si>
    <t>(bergend, infiltrerend)</t>
  </si>
  <si>
    <t>Kenmerken:</t>
  </si>
  <si>
    <t>(bergend, droogte)</t>
  </si>
  <si>
    <t>- Groenblauw dak</t>
  </si>
  <si>
    <t>Waterhoogte 0.1m.</t>
  </si>
  <si>
    <t>Substraatlaag 0.1m, drainagelaag 0.05m, bergingscapaciteit substraat 30%.</t>
  </si>
  <si>
    <t>Hoogte 1.2m, oppervlak 0.25m2.</t>
  </si>
  <si>
    <t>Per krat: hoogte 0.4m, breedte 0.6m, lengte 1.2m, vulling krat 95%, hoogte stapeling: 2 stuks.</t>
  </si>
  <si>
    <t>Talud 1:3, bodemdiepte 0.4m, bodembreedte 1m.</t>
  </si>
  <si>
    <t>Vergrotingsfactor 95%, hoogte 1.5m.</t>
  </si>
  <si>
    <t>Diepte 1.5m, oppervlak 0.25m2.</t>
  </si>
  <si>
    <t>Diepte 0.4m, talud 1:0.</t>
  </si>
  <si>
    <t>Diameter 0.5m.</t>
  </si>
  <si>
    <t>Talud 1:3, bodemdiepte 0.5m, bodembreedte 1m.</t>
  </si>
  <si>
    <t>Standaardaannames maatregelen:</t>
  </si>
  <si>
    <t>Maatregel:</t>
  </si>
  <si>
    <t>Aannames:</t>
  </si>
  <si>
    <t>Aannames</t>
  </si>
  <si>
    <t>Algemeen</t>
  </si>
  <si>
    <t>Opp onverhard:</t>
  </si>
  <si>
    <t>Opp verhard:</t>
  </si>
  <si>
    <t>De tuinen zijn volgens u naar schatting verhard voor</t>
  </si>
  <si>
    <t>Dit gedeelte vangt de eerste 10mm van de bui op.</t>
  </si>
  <si>
    <t>m3 water.</t>
  </si>
  <si>
    <t>Deze vraag heeft effect op het type maatregelen dat het model kiest voor berekening. Voldoende infiltratiecapaciteit is aanwezig indien grondwaterstand niet te hoog is (&lt;1m), het grondtype geschikt is (geprefereerd bestaande uit zand, grind) en indien de grond niet dichtgeslagen is door bijvoorbeeld werkzaamheden.</t>
  </si>
  <si>
    <t>Neerslag (nieuw)</t>
  </si>
  <si>
    <t>U heeft aangegeven dat het gebied bijna jaarlijks te maken heeft met wateroverlast. Dit indiceert dat het gebied onvoldoende capaciteit heeft om water te verwerken en kwetsbaar is. Overweeg mogelijk een hoger ambitieniveau te selecteren.</t>
  </si>
  <si>
    <t>Kies een ambitieniveau bestaande uit een bepaalde neerslagsom in 1 uur. Zie toelichting voor ambitieniveau's die in de praktijk worden gehanteerd.</t>
  </si>
  <si>
    <t>Gehanteerde neerslagsommen die in de praktijk worden gebruikt volgens stichting RIONED zijn:</t>
  </si>
  <si>
    <t>Conventioneel:</t>
  </si>
  <si>
    <t>Matig klimaatbestendig:</t>
  </si>
  <si>
    <t>Gemiddeld klimaatbestendig:</t>
  </si>
  <si>
    <t>Zeer klimaatbestendig:</t>
  </si>
  <si>
    <t>Op dit tabblad wordt het ambitieniveau voor klimaatadaptatie ingesteld. Dit wordt vertaald naar een hoeveelheid water dat verwerkt moet worden.</t>
  </si>
  <si>
    <t>Als het gebied (bijna) jaarlijks met wateroverlast kampt betekent dit dat het gebied al kwetsbaar is voor wateroverlast zou overwogen moeten worden om een hoger ambitieniveau dan conventioneel te selecteren.</t>
  </si>
  <si>
    <t>Diepte 0.5m, bergingscapaciteit grind 38%.</t>
  </si>
  <si>
    <t>Substraatlaag 0.1m, bergingscapaciteit substraat 30%.</t>
  </si>
  <si>
    <t>Benodigd opp/stuks:</t>
  </si>
  <si>
    <t>% van aangegeven tuin/dakopp:</t>
  </si>
  <si>
    <t>Beheerkosten (€/j)</t>
  </si>
  <si>
    <t>VRAAG</t>
  </si>
  <si>
    <t>TABEL 2.3 INVOER FACTOREN</t>
  </si>
  <si>
    <t>% tuin/dakopp</t>
  </si>
  <si>
    <t>TABEL 4 MAATREGELEN</t>
  </si>
  <si>
    <t>TABEL 1 KOSTEN</t>
  </si>
  <si>
    <t>TABEL 2.1 INVOER LOCATIEGEGEVENS WAARDEN</t>
  </si>
  <si>
    <t>Tabel 2.1.1 Daken</t>
  </si>
  <si>
    <t>Tabel 2.1.2 Tuinen</t>
  </si>
  <si>
    <t>TABEL 2 INVOER AMBITIE KLIMAATADAPTATIE WAARDEN</t>
  </si>
  <si>
    <t>4.1 GROEN DAK</t>
  </si>
  <si>
    <t>4.2 BLAUW DAK</t>
  </si>
  <si>
    <t>4.3 GROENBLAUW DAK</t>
  </si>
  <si>
    <t>4.4 REGENTON</t>
  </si>
  <si>
    <t>4.5 INFILTRATIEKRATTEN</t>
  </si>
  <si>
    <t xml:space="preserve">TABEL 2.2 INTERCEPTIEFACTOR </t>
  </si>
  <si>
    <t>TABEL 3 ADVIES STANDAARDTEKSTEN</t>
  </si>
  <si>
    <t>TABEL 3.1 BEREKEND SCENARIO:</t>
  </si>
  <si>
    <t>TABEL 3.2 ENKELE WAARDEN GEPRESENTEERD IN ADVIES</t>
  </si>
  <si>
    <t>Tabel 3.2.1 SCENARIO 1</t>
  </si>
  <si>
    <t>Tabel 3.2.2 SCENARIO 2</t>
  </si>
  <si>
    <t>Tabel 3.2.3 SCENARIO 3</t>
  </si>
  <si>
    <t>Tabel 3.2.4 SCENARIO 4</t>
  </si>
  <si>
    <t>TABEL 5 CUSTOM BUI MODULE (BUITEN GEBRUIK)</t>
  </si>
  <si>
    <t>Tabel 5.1 T situatie, tijdsinterval</t>
  </si>
  <si>
    <t>Tabel 5.2 Wateraanbod</t>
  </si>
  <si>
    <t>Tabel 5.3 Bui</t>
  </si>
  <si>
    <t>Tabel 5.4 Buientabel Kortdurig</t>
  </si>
  <si>
    <t>4.6 WADI</t>
  </si>
  <si>
    <t>4.7 GRINDKOFFER</t>
  </si>
  <si>
    <t>4.8 OPSLAGVOORZIENING</t>
  </si>
  <si>
    <t>4.9 INFILTRATIEPUT</t>
  </si>
  <si>
    <t>4.10 WATERPLEIN</t>
  </si>
  <si>
    <t>4.11 IT-RIOOL</t>
  </si>
  <si>
    <t>4.12 GREPPEL</t>
  </si>
  <si>
    <t>Tuinen (verharding+interceptie)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</si>
</sst>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General_)"/>
  </numFmts>
  <fonts count="20">
    <font>
      <sz val="11"/>
      <color theme="1"/>
      <name val="Calibri"/>
      <family val="2"/>
      <scheme val="minor"/>
    </font>
    <font>
      <b/>
      <sz val="11"/>
      <color theme="1"/>
      <name val="Calibri"/>
      <family val="2"/>
      <scheme val="minor"/>
    </font>
    <font>
      <sz val="11"/>
      <color theme="1"/>
      <name val="Calibri"/>
      <family val="2"/>
      <scheme val="minor"/>
    </font>
    <font>
      <sz val="10"/>
      <name val="Arial"/>
      <family val="2"/>
    </font>
    <font>
      <sz val="12"/>
      <name val="LinePrinter"/>
    </font>
    <font>
      <sz val="10"/>
      <color indexed="8"/>
      <name val="Arial"/>
      <family val="2"/>
    </font>
    <font>
      <b/>
      <sz val="14"/>
      <color theme="1"/>
      <name val="Calibri"/>
      <family val="2"/>
      <scheme val="minor"/>
    </font>
    <font>
      <u/>
      <sz val="11"/>
      <color theme="1"/>
      <name val="Calibri"/>
      <family val="2"/>
      <scheme val="minor"/>
    </font>
    <font>
      <sz val="9"/>
      <color theme="1"/>
      <name val="Calibri"/>
      <family val="2"/>
      <scheme val="minor"/>
    </font>
    <font>
      <sz val="16"/>
      <color theme="1"/>
      <name val="Calibri"/>
      <family val="2"/>
      <scheme val="minor"/>
    </font>
    <font>
      <u/>
      <sz val="16"/>
      <color rgb="FF000000"/>
      <name val="Calibri"/>
      <family val="2"/>
      <scheme val="minor"/>
    </font>
    <font>
      <sz val="16"/>
      <color rgb="FF000000"/>
      <name val="Calibri"/>
      <family val="2"/>
      <scheme val="minor"/>
    </font>
    <font>
      <sz val="11"/>
      <name val="Calibri"/>
      <family val="2"/>
      <scheme val="minor"/>
    </font>
    <font>
      <b/>
      <sz val="12"/>
      <color theme="1"/>
      <name val="Calibri"/>
      <family val="2"/>
      <scheme val="minor"/>
    </font>
    <font>
      <sz val="12"/>
      <color theme="1"/>
      <name val="Calibri"/>
      <family val="2"/>
      <scheme val="minor"/>
    </font>
    <font>
      <b/>
      <u/>
      <sz val="14"/>
      <color theme="1"/>
      <name val="Calibri"/>
      <family val="2"/>
      <scheme val="minor"/>
    </font>
    <font>
      <b/>
      <u/>
      <sz val="11"/>
      <color theme="1"/>
      <name val="Calibri"/>
      <family val="2"/>
      <scheme val="minor"/>
    </font>
    <font>
      <u/>
      <sz val="12"/>
      <color theme="1"/>
      <name val="Calibri"/>
      <family val="2"/>
      <scheme val="minor"/>
    </font>
    <font>
      <sz val="11"/>
      <color rgb="FF000000"/>
      <name val="Calibri"/>
      <family val="2"/>
      <scheme val="minor"/>
    </font>
    <font>
      <u/>
      <sz val="11"/>
      <color rgb="FF000000"/>
      <name val="Calibri"/>
      <family val="2"/>
      <scheme val="minor"/>
    </font>
  </fonts>
  <fills count="9">
    <fill>
      <patternFill patternType="none"/>
    </fill>
    <fill>
      <patternFill patternType="gray125"/>
    </fill>
    <fill>
      <patternFill patternType="solid">
        <fgColor rgb="FFFF0000"/>
        <bgColor indexed="64"/>
      </patternFill>
    </fill>
    <fill>
      <patternFill patternType="solid">
        <fgColor rgb="FFFFC000"/>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theme="0"/>
        <bgColor indexed="64"/>
      </patternFill>
    </fill>
    <fill>
      <patternFill patternType="solid">
        <fgColor theme="8" tint="0.39997558519241921"/>
        <bgColor indexed="64"/>
      </patternFill>
    </fill>
    <fill>
      <patternFill patternType="solid">
        <fgColor theme="7"/>
        <bgColor indexed="64"/>
      </patternFill>
    </fill>
  </fills>
  <borders count="3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style="thin">
        <color indexed="64"/>
      </left>
      <right/>
      <top style="thin">
        <color rgb="FF000000"/>
      </top>
      <bottom style="thin">
        <color rgb="FF000000"/>
      </bottom>
      <diagonal/>
    </border>
    <border>
      <left style="thin">
        <color indexed="64"/>
      </left>
      <right/>
      <top style="thin">
        <color rgb="FF000000"/>
      </top>
      <bottom/>
      <diagonal/>
    </border>
    <border>
      <left style="thin">
        <color indexed="64"/>
      </left>
      <right/>
      <top/>
      <bottom style="thin">
        <color rgb="FF000000"/>
      </bottom>
      <diagonal/>
    </border>
  </borders>
  <cellStyleXfs count="3">
    <xf numFmtId="0" fontId="0" fillId="0" borderId="0"/>
    <xf numFmtId="164" fontId="2" fillId="0" borderId="0" applyFont="0" applyFill="0" applyBorder="0" applyAlignment="0" applyProtection="0"/>
    <xf numFmtId="165" fontId="4" fillId="0" borderId="0"/>
  </cellStyleXfs>
  <cellXfs count="184">
    <xf numFmtId="0" fontId="0" fillId="0" borderId="0" xfId="0"/>
    <xf numFmtId="0" fontId="1" fillId="0" borderId="0" xfId="0" applyFont="1"/>
    <xf numFmtId="164" fontId="0" fillId="0" borderId="0" xfId="1" applyFont="1"/>
    <xf numFmtId="165" fontId="5" fillId="0" borderId="0" xfId="2" applyFont="1"/>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0" xfId="0" applyBorder="1"/>
    <xf numFmtId="0" fontId="0" fillId="0" borderId="8" xfId="0" applyBorder="1"/>
    <xf numFmtId="0" fontId="0" fillId="0" borderId="7" xfId="0" applyBorder="1"/>
    <xf numFmtId="0" fontId="1" fillId="0" borderId="9" xfId="0" applyFont="1" applyBorder="1"/>
    <xf numFmtId="0" fontId="0" fillId="0" borderId="10" xfId="0" applyBorder="1"/>
    <xf numFmtId="0" fontId="0" fillId="0" borderId="11" xfId="0" applyBorder="1"/>
    <xf numFmtId="0" fontId="1" fillId="0" borderId="7" xfId="0" applyFont="1" applyBorder="1"/>
    <xf numFmtId="0" fontId="0" fillId="0" borderId="12" xfId="0" applyBorder="1"/>
    <xf numFmtId="0" fontId="0" fillId="0" borderId="14" xfId="0" applyBorder="1"/>
    <xf numFmtId="0" fontId="0" fillId="0" borderId="15" xfId="0" applyBorder="1"/>
    <xf numFmtId="0" fontId="0" fillId="0" borderId="17" xfId="0" applyBorder="1"/>
    <xf numFmtId="0" fontId="1" fillId="0" borderId="1" xfId="0" applyFont="1" applyBorder="1"/>
    <xf numFmtId="0" fontId="0" fillId="0" borderId="19" xfId="0" applyBorder="1"/>
    <xf numFmtId="0" fontId="0" fillId="0" borderId="20" xfId="0" applyBorder="1"/>
    <xf numFmtId="0" fontId="0" fillId="3" borderId="16" xfId="0" applyFill="1" applyBorder="1"/>
    <xf numFmtId="0" fontId="0" fillId="3" borderId="17" xfId="0" applyFill="1" applyBorder="1"/>
    <xf numFmtId="0" fontId="0" fillId="3" borderId="18" xfId="0" applyFill="1" applyBorder="1"/>
    <xf numFmtId="0" fontId="0" fillId="3" borderId="21" xfId="0" applyFill="1" applyBorder="1"/>
    <xf numFmtId="0" fontId="0" fillId="0" borderId="0" xfId="0" applyFill="1" applyBorder="1"/>
    <xf numFmtId="0" fontId="0" fillId="0" borderId="0" xfId="0" quotePrefix="1"/>
    <xf numFmtId="0" fontId="0" fillId="4" borderId="2" xfId="0" applyFill="1" applyBorder="1"/>
    <xf numFmtId="0" fontId="0" fillId="4" borderId="10" xfId="0" applyFill="1" applyBorder="1"/>
    <xf numFmtId="0" fontId="0" fillId="4" borderId="11" xfId="0" applyFill="1" applyBorder="1"/>
    <xf numFmtId="0" fontId="1" fillId="4" borderId="9" xfId="0" applyFont="1" applyFill="1" applyBorder="1"/>
    <xf numFmtId="0" fontId="0" fillId="0" borderId="9" xfId="0" applyBorder="1"/>
    <xf numFmtId="0" fontId="0" fillId="3" borderId="22" xfId="0" applyFill="1" applyBorder="1"/>
    <xf numFmtId="0" fontId="0" fillId="3" borderId="23" xfId="0" applyFill="1" applyBorder="1"/>
    <xf numFmtId="0" fontId="0" fillId="3" borderId="24" xfId="0" applyFill="1" applyBorder="1"/>
    <xf numFmtId="0" fontId="0" fillId="0" borderId="22" xfId="0" applyBorder="1"/>
    <xf numFmtId="0" fontId="0" fillId="0" borderId="25" xfId="0" applyBorder="1"/>
    <xf numFmtId="0" fontId="0" fillId="0" borderId="7" xfId="0" applyFill="1" applyBorder="1"/>
    <xf numFmtId="0" fontId="0" fillId="0" borderId="4" xfId="0" applyFill="1" applyBorder="1"/>
    <xf numFmtId="0" fontId="0" fillId="0" borderId="24" xfId="0" applyBorder="1"/>
    <xf numFmtId="0" fontId="0" fillId="0" borderId="24" xfId="0" applyFill="1" applyBorder="1"/>
    <xf numFmtId="0" fontId="0" fillId="0" borderId="23" xfId="0" applyBorder="1"/>
    <xf numFmtId="0" fontId="0" fillId="0" borderId="9" xfId="0" applyFill="1" applyBorder="1"/>
    <xf numFmtId="0" fontId="0" fillId="0" borderId="22" xfId="0" applyFill="1" applyBorder="1"/>
    <xf numFmtId="0" fontId="1" fillId="0" borderId="0" xfId="0" applyFont="1" applyFill="1" applyBorder="1"/>
    <xf numFmtId="1" fontId="0" fillId="0" borderId="0" xfId="0" applyNumberFormat="1"/>
    <xf numFmtId="0" fontId="1" fillId="0" borderId="4" xfId="0" applyFont="1" applyFill="1" applyBorder="1"/>
    <xf numFmtId="2" fontId="0" fillId="0" borderId="2" xfId="0" applyNumberFormat="1" applyBorder="1"/>
    <xf numFmtId="0" fontId="1" fillId="4" borderId="22" xfId="0" applyFont="1" applyFill="1" applyBorder="1"/>
    <xf numFmtId="0" fontId="6" fillId="0" borderId="0" xfId="0" applyFont="1"/>
    <xf numFmtId="0" fontId="0" fillId="0" borderId="3" xfId="0" applyFill="1" applyBorder="1"/>
    <xf numFmtId="0" fontId="1" fillId="0" borderId="4" xfId="0" applyFont="1" applyBorder="1"/>
    <xf numFmtId="0" fontId="12" fillId="0" borderId="23" xfId="0" applyFont="1" applyFill="1" applyBorder="1"/>
    <xf numFmtId="0" fontId="1" fillId="4" borderId="23" xfId="0" applyFont="1" applyFill="1" applyBorder="1"/>
    <xf numFmtId="0" fontId="0" fillId="0" borderId="5" xfId="0" applyFill="1" applyBorder="1"/>
    <xf numFmtId="0" fontId="0" fillId="0" borderId="8" xfId="0" applyFill="1" applyBorder="1"/>
    <xf numFmtId="0" fontId="0" fillId="0" borderId="23" xfId="0" applyFill="1" applyBorder="1"/>
    <xf numFmtId="0" fontId="0" fillId="0" borderId="25" xfId="0" applyFill="1" applyBorder="1"/>
    <xf numFmtId="0" fontId="6" fillId="5" borderId="0" xfId="0" applyFont="1" applyFill="1"/>
    <xf numFmtId="0" fontId="0" fillId="5" borderId="0" xfId="0" applyFill="1"/>
    <xf numFmtId="0" fontId="1" fillId="5" borderId="0" xfId="0" applyFont="1" applyFill="1"/>
    <xf numFmtId="0" fontId="0" fillId="5" borderId="22" xfId="0" applyFill="1" applyBorder="1"/>
    <xf numFmtId="0" fontId="0" fillId="6" borderId="23" xfId="0" applyFill="1" applyBorder="1"/>
    <xf numFmtId="0" fontId="0" fillId="6" borderId="25" xfId="0" applyFill="1" applyBorder="1"/>
    <xf numFmtId="0" fontId="0" fillId="6" borderId="22" xfId="0" applyFill="1" applyBorder="1"/>
    <xf numFmtId="0" fontId="0" fillId="5" borderId="0" xfId="0" applyFont="1" applyFill="1"/>
    <xf numFmtId="0" fontId="8" fillId="5" borderId="0" xfId="0" applyFont="1" applyFill="1"/>
    <xf numFmtId="0" fontId="0" fillId="5" borderId="0" xfId="0" quotePrefix="1" applyFill="1"/>
    <xf numFmtId="0" fontId="9" fillId="5" borderId="0" xfId="0" applyFont="1" applyFill="1" applyAlignment="1">
      <alignment horizontal="left" vertical="center" indent="3" readingOrder="1"/>
    </xf>
    <xf numFmtId="0" fontId="10" fillId="5" borderId="0" xfId="0" applyFont="1" applyFill="1" applyAlignment="1">
      <alignment horizontal="left" vertical="center" readingOrder="1"/>
    </xf>
    <xf numFmtId="0" fontId="11" fillId="5" borderId="0" xfId="0" applyFont="1" applyFill="1" applyAlignment="1">
      <alignment horizontal="left" vertical="center" readingOrder="1"/>
    </xf>
    <xf numFmtId="0" fontId="0" fillId="5" borderId="0" xfId="0" applyFill="1" applyBorder="1"/>
    <xf numFmtId="0" fontId="13" fillId="5" borderId="0" xfId="0" applyFont="1" applyFill="1"/>
    <xf numFmtId="0" fontId="14" fillId="5" borderId="0" xfId="0" applyFont="1" applyFill="1" applyAlignment="1">
      <alignment wrapText="1"/>
    </xf>
    <xf numFmtId="0" fontId="0" fillId="2" borderId="0" xfId="0" applyFill="1"/>
    <xf numFmtId="0" fontId="15" fillId="5" borderId="0" xfId="0" applyFont="1" applyFill="1"/>
    <xf numFmtId="0" fontId="1" fillId="0" borderId="2" xfId="0" applyFont="1" applyBorder="1"/>
    <xf numFmtId="0" fontId="1" fillId="7" borderId="22" xfId="0" applyFont="1" applyFill="1" applyBorder="1"/>
    <xf numFmtId="0" fontId="0" fillId="5" borderId="23" xfId="0" applyFill="1" applyBorder="1"/>
    <xf numFmtId="0" fontId="0" fillId="5" borderId="25" xfId="0" applyFill="1" applyBorder="1"/>
    <xf numFmtId="0" fontId="0" fillId="5" borderId="24" xfId="0" applyFill="1" applyBorder="1"/>
    <xf numFmtId="0" fontId="0" fillId="6" borderId="23" xfId="0" applyFill="1" applyBorder="1" applyAlignment="1">
      <alignment horizontal="center"/>
    </xf>
    <xf numFmtId="0" fontId="0" fillId="6" borderId="25" xfId="0" applyFill="1" applyBorder="1" applyAlignment="1">
      <alignment horizontal="center"/>
    </xf>
    <xf numFmtId="0" fontId="1" fillId="4" borderId="25" xfId="0" applyFont="1" applyFill="1" applyBorder="1"/>
    <xf numFmtId="0" fontId="3" fillId="0" borderId="2" xfId="1" applyNumberFormat="1" applyFont="1" applyFill="1" applyBorder="1" applyAlignment="1">
      <alignment horizontal="center"/>
    </xf>
    <xf numFmtId="0" fontId="0" fillId="0" borderId="2" xfId="1" applyNumberFormat="1" applyFont="1" applyBorder="1"/>
    <xf numFmtId="0" fontId="0" fillId="0" borderId="3" xfId="1" applyNumberFormat="1" applyFont="1" applyBorder="1"/>
    <xf numFmtId="165" fontId="5" fillId="0" borderId="7" xfId="2" applyFont="1" applyBorder="1"/>
    <xf numFmtId="165" fontId="5" fillId="0" borderId="0" xfId="2" applyFont="1" applyBorder="1"/>
    <xf numFmtId="164" fontId="0" fillId="0" borderId="0" xfId="1" applyFont="1" applyBorder="1"/>
    <xf numFmtId="164" fontId="0" fillId="0" borderId="8" xfId="1" applyFont="1" applyBorder="1"/>
    <xf numFmtId="165" fontId="5" fillId="0" borderId="4" xfId="2" applyFont="1" applyBorder="1"/>
    <xf numFmtId="165" fontId="5" fillId="0" borderId="5" xfId="2" applyFont="1" applyBorder="1"/>
    <xf numFmtId="164" fontId="0" fillId="0" borderId="5" xfId="1" applyFont="1" applyBorder="1"/>
    <xf numFmtId="164" fontId="0" fillId="0" borderId="6" xfId="1" applyFont="1" applyBorder="1"/>
    <xf numFmtId="1" fontId="0" fillId="5" borderId="0" xfId="0" applyNumberFormat="1" applyFill="1" applyBorder="1"/>
    <xf numFmtId="0" fontId="0" fillId="5" borderId="0" xfId="0" applyFill="1" applyBorder="1" applyAlignment="1">
      <alignment horizontal="right"/>
    </xf>
    <xf numFmtId="0" fontId="1" fillId="5" borderId="0" xfId="0" applyFont="1" applyFill="1" applyAlignment="1">
      <alignment vertical="center"/>
    </xf>
    <xf numFmtId="0" fontId="0" fillId="5" borderId="0" xfId="0" applyFill="1" applyAlignment="1">
      <alignment vertical="top"/>
    </xf>
    <xf numFmtId="43" fontId="0" fillId="0" borderId="0" xfId="0" applyNumberFormat="1"/>
    <xf numFmtId="0" fontId="0" fillId="5" borderId="2" xfId="0" applyFill="1" applyBorder="1"/>
    <xf numFmtId="0" fontId="16" fillId="5" borderId="0" xfId="0" applyFont="1" applyFill="1"/>
    <xf numFmtId="0" fontId="1" fillId="4" borderId="24" xfId="0" applyFont="1" applyFill="1" applyBorder="1"/>
    <xf numFmtId="0" fontId="0" fillId="5" borderId="2" xfId="0" applyFill="1" applyBorder="1" applyAlignment="1">
      <alignment horizontal="center"/>
    </xf>
    <xf numFmtId="1" fontId="0" fillId="5" borderId="0" xfId="0" applyNumberFormat="1" applyFill="1"/>
    <xf numFmtId="0" fontId="7" fillId="5" borderId="0" xfId="0" quotePrefix="1" applyFont="1" applyFill="1"/>
    <xf numFmtId="0" fontId="0" fillId="5" borderId="0" xfId="0" applyFont="1" applyFill="1" applyAlignment="1"/>
    <xf numFmtId="0" fontId="14" fillId="5" borderId="0" xfId="0" applyFont="1" applyFill="1"/>
    <xf numFmtId="0" fontId="1" fillId="0" borderId="0" xfId="0" applyFont="1" applyBorder="1"/>
    <xf numFmtId="0" fontId="0" fillId="3" borderId="25" xfId="0" applyFill="1" applyBorder="1"/>
    <xf numFmtId="1" fontId="0" fillId="0" borderId="0" xfId="0" applyNumberFormat="1" applyFill="1" applyBorder="1"/>
    <xf numFmtId="0" fontId="0" fillId="0" borderId="0" xfId="0" applyNumberFormat="1" applyBorder="1"/>
    <xf numFmtId="1" fontId="0" fillId="0" borderId="2" xfId="0" applyNumberFormat="1" applyFill="1" applyBorder="1"/>
    <xf numFmtId="0" fontId="0" fillId="3" borderId="26" xfId="0" applyFill="1" applyBorder="1"/>
    <xf numFmtId="0" fontId="0" fillId="3" borderId="27" xfId="0" applyFill="1" applyBorder="1"/>
    <xf numFmtId="2" fontId="0" fillId="0" borderId="0" xfId="0" applyNumberFormat="1" applyBorder="1"/>
    <xf numFmtId="0" fontId="0" fillId="0" borderId="0" xfId="0" applyFont="1" applyBorder="1"/>
    <xf numFmtId="0" fontId="1" fillId="0" borderId="7" xfId="0" applyFont="1" applyFill="1" applyBorder="1"/>
    <xf numFmtId="0" fontId="1" fillId="0" borderId="1" xfId="0" applyFont="1" applyFill="1" applyBorder="1"/>
    <xf numFmtId="0" fontId="0" fillId="0" borderId="27" xfId="0" applyBorder="1"/>
    <xf numFmtId="0" fontId="1" fillId="4" borderId="4" xfId="0" applyFont="1" applyFill="1" applyBorder="1"/>
    <xf numFmtId="0" fontId="1" fillId="4" borderId="28" xfId="0" applyFont="1" applyFill="1" applyBorder="1"/>
    <xf numFmtId="0" fontId="1" fillId="4" borderId="27" xfId="0" applyFont="1" applyFill="1" applyBorder="1"/>
    <xf numFmtId="0" fontId="1" fillId="4" borderId="5" xfId="0" applyFont="1" applyFill="1" applyBorder="1"/>
    <xf numFmtId="0" fontId="1" fillId="4" borderId="6" xfId="0" applyFont="1" applyFill="1" applyBorder="1"/>
    <xf numFmtId="0" fontId="1" fillId="4" borderId="24" xfId="0" applyFont="1" applyFill="1" applyBorder="1" applyAlignment="1">
      <alignment horizontal="center"/>
    </xf>
    <xf numFmtId="0" fontId="0" fillId="8" borderId="24" xfId="0" applyFill="1" applyBorder="1"/>
    <xf numFmtId="0" fontId="1" fillId="5" borderId="0" xfId="0" applyFont="1" applyFill="1" applyBorder="1"/>
    <xf numFmtId="0" fontId="0" fillId="0" borderId="0" xfId="0" quotePrefix="1" applyFill="1" applyBorder="1"/>
    <xf numFmtId="0" fontId="0" fillId="0" borderId="25" xfId="0" quotePrefix="1" applyFill="1" applyBorder="1"/>
    <xf numFmtId="0" fontId="0" fillId="0" borderId="24" xfId="0" quotePrefix="1" applyFill="1" applyBorder="1"/>
    <xf numFmtId="0" fontId="0" fillId="4" borderId="24" xfId="0" applyFill="1" applyBorder="1"/>
    <xf numFmtId="0" fontId="0" fillId="4" borderId="6" xfId="0" applyFill="1" applyBorder="1"/>
    <xf numFmtId="0" fontId="0" fillId="0" borderId="13" xfId="0" quotePrefix="1" applyBorder="1"/>
    <xf numFmtId="0" fontId="0" fillId="0" borderId="13" xfId="0" quotePrefix="1" applyFill="1" applyBorder="1"/>
    <xf numFmtId="0" fontId="0" fillId="0" borderId="28" xfId="0" quotePrefix="1" applyFill="1" applyBorder="1"/>
    <xf numFmtId="0" fontId="7" fillId="5" borderId="0" xfId="0" applyFont="1" applyFill="1"/>
    <xf numFmtId="0" fontId="1" fillId="5" borderId="0" xfId="0" applyFont="1" applyFill="1" applyAlignment="1">
      <alignment vertical="top"/>
    </xf>
    <xf numFmtId="0" fontId="0" fillId="4" borderId="22" xfId="0" applyFill="1" applyBorder="1"/>
    <xf numFmtId="0" fontId="0" fillId="0" borderId="7" xfId="0" quotePrefix="1" applyFill="1" applyBorder="1"/>
    <xf numFmtId="0" fontId="0" fillId="0" borderId="4" xfId="0" quotePrefix="1" applyFill="1" applyBorder="1"/>
    <xf numFmtId="0" fontId="0" fillId="0" borderId="6" xfId="0" applyFill="1" applyBorder="1"/>
    <xf numFmtId="0" fontId="0" fillId="0" borderId="1" xfId="0" applyFill="1" applyBorder="1"/>
    <xf numFmtId="0" fontId="0" fillId="5" borderId="0" xfId="0" quotePrefix="1" applyFont="1" applyFill="1"/>
    <xf numFmtId="0" fontId="0" fillId="4" borderId="4" xfId="0" applyFill="1" applyBorder="1"/>
    <xf numFmtId="0" fontId="0" fillId="4" borderId="5" xfId="0" applyFill="1" applyBorder="1"/>
    <xf numFmtId="164" fontId="0" fillId="4" borderId="10" xfId="1" applyFont="1" applyFill="1" applyBorder="1"/>
    <xf numFmtId="0" fontId="0" fillId="0" borderId="4" xfId="0" quotePrefix="1" applyFont="1" applyFill="1" applyBorder="1"/>
    <xf numFmtId="0" fontId="0" fillId="8" borderId="23" xfId="0" applyFill="1" applyBorder="1"/>
    <xf numFmtId="0" fontId="0" fillId="5" borderId="0" xfId="0" applyFill="1" applyAlignment="1"/>
    <xf numFmtId="0" fontId="0" fillId="0" borderId="24" xfId="0" applyFont="1" applyFill="1" applyBorder="1"/>
    <xf numFmtId="0" fontId="0" fillId="0" borderId="22" xfId="0" applyFont="1" applyFill="1" applyBorder="1"/>
    <xf numFmtId="0" fontId="12" fillId="0" borderId="25" xfId="0" applyFont="1" applyFill="1" applyBorder="1"/>
    <xf numFmtId="0" fontId="1" fillId="4" borderId="9" xfId="0" quotePrefix="1" applyFont="1" applyFill="1" applyBorder="1"/>
    <xf numFmtId="164" fontId="0" fillId="0" borderId="23" xfId="1" applyFont="1" applyBorder="1"/>
    <xf numFmtId="164" fontId="0" fillId="0" borderId="24" xfId="1" applyFont="1" applyBorder="1"/>
    <xf numFmtId="0" fontId="0" fillId="0" borderId="23" xfId="1" applyNumberFormat="1" applyFont="1" applyBorder="1"/>
    <xf numFmtId="0" fontId="0" fillId="0" borderId="25" xfId="1" applyNumberFormat="1" applyFont="1" applyBorder="1"/>
    <xf numFmtId="0" fontId="0" fillId="0" borderId="24" xfId="1" applyNumberFormat="1" applyFont="1" applyBorder="1"/>
    <xf numFmtId="0" fontId="0" fillId="0" borderId="7" xfId="0" applyFont="1" applyFill="1" applyBorder="1"/>
    <xf numFmtId="49" fontId="18" fillId="0" borderId="8" xfId="0" applyNumberFormat="1" applyFont="1" applyBorder="1" applyAlignment="1">
      <alignment horizontal="fill" vertical="center"/>
    </xf>
    <xf numFmtId="0" fontId="18" fillId="0" borderId="0" xfId="0" applyFont="1" applyBorder="1" applyAlignment="1">
      <alignment horizontal="fill"/>
    </xf>
    <xf numFmtId="0" fontId="18" fillId="0" borderId="8" xfId="0" applyFont="1" applyBorder="1" applyAlignment="1">
      <alignment horizontal="fill"/>
    </xf>
    <xf numFmtId="0" fontId="0" fillId="0" borderId="8" xfId="0" applyBorder="1" applyAlignment="1">
      <alignment horizontal="fill"/>
    </xf>
    <xf numFmtId="0" fontId="0" fillId="0" borderId="0" xfId="0" applyBorder="1" applyAlignment="1">
      <alignment horizontal="fill"/>
    </xf>
    <xf numFmtId="0" fontId="0" fillId="0" borderId="5" xfId="0" applyBorder="1" applyAlignment="1">
      <alignment horizontal="fill"/>
    </xf>
    <xf numFmtId="0" fontId="0" fillId="0" borderId="6" xfId="0" applyBorder="1" applyAlignment="1">
      <alignment horizontal="fill"/>
    </xf>
    <xf numFmtId="0" fontId="0" fillId="0" borderId="29" xfId="0" applyBorder="1"/>
    <xf numFmtId="0" fontId="0" fillId="0" borderId="30" xfId="0" applyBorder="1"/>
    <xf numFmtId="0" fontId="0" fillId="0" borderId="31" xfId="0" applyBorder="1"/>
    <xf numFmtId="0" fontId="0" fillId="0" borderId="7" xfId="0" applyFont="1" applyBorder="1"/>
    <xf numFmtId="0" fontId="1" fillId="0" borderId="8" xfId="0" applyFont="1" applyBorder="1"/>
    <xf numFmtId="1" fontId="0" fillId="0" borderId="0" xfId="0" applyNumberFormat="1" applyBorder="1"/>
    <xf numFmtId="0" fontId="0" fillId="8" borderId="17" xfId="0" applyFill="1" applyBorder="1"/>
    <xf numFmtId="0" fontId="0" fillId="8" borderId="0" xfId="0" applyFill="1" applyBorder="1"/>
    <xf numFmtId="0" fontId="0" fillId="8" borderId="27" xfId="0" applyFill="1" applyBorder="1"/>
    <xf numFmtId="0" fontId="0" fillId="8" borderId="5" xfId="0" applyFill="1" applyBorder="1"/>
    <xf numFmtId="0" fontId="0" fillId="8" borderId="25" xfId="0" applyFill="1" applyBorder="1"/>
    <xf numFmtId="0" fontId="0" fillId="8" borderId="25" xfId="0" applyFill="1" applyBorder="1" applyAlignment="1">
      <alignment horizontal="center"/>
    </xf>
    <xf numFmtId="0" fontId="0" fillId="8" borderId="24" xfId="0" applyFill="1" applyBorder="1" applyAlignment="1">
      <alignment horizontal="center"/>
    </xf>
    <xf numFmtId="0" fontId="0" fillId="8" borderId="22" xfId="0" applyFill="1" applyBorder="1"/>
  </cellXfs>
  <cellStyles count="3">
    <cellStyle name="Comma" xfId="1" builtinId="3"/>
    <cellStyle name="Normal" xfId="0" builtinId="0"/>
    <cellStyle name="Standaard_HERHAAL" xfId="2" xr:uid="{5C0421F5-A361-4F76-93C4-A89B03D7BD8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12</xdr:col>
      <xdr:colOff>90348</xdr:colOff>
      <xdr:row>3</xdr:row>
      <xdr:rowOff>43295</xdr:rowOff>
    </xdr:from>
    <xdr:to>
      <xdr:col>19</xdr:col>
      <xdr:colOff>424295</xdr:colOff>
      <xdr:row>21</xdr:row>
      <xdr:rowOff>136564</xdr:rowOff>
    </xdr:to>
    <xdr:pic>
      <xdr:nvPicPr>
        <xdr:cNvPr id="6" name="Picture 5">
          <a:extLst>
            <a:ext uri="{FF2B5EF4-FFF2-40B4-BE49-F238E27FC236}">
              <a16:creationId xmlns:a16="http://schemas.microsoft.com/office/drawing/2014/main" id="{057AC1F5-F6AE-4A4C-9C13-5138C78394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4598" y="666750"/>
          <a:ext cx="4576902" cy="3522269"/>
        </a:xfrm>
        <a:prstGeom prst="rect">
          <a:avLst/>
        </a:prstGeom>
      </xdr:spPr>
    </xdr:pic>
    <xdr:clientData/>
  </xdr:twoCellAnchor>
  <xdr:twoCellAnchor>
    <xdr:from>
      <xdr:col>0</xdr:col>
      <xdr:colOff>0</xdr:colOff>
      <xdr:row>12</xdr:row>
      <xdr:rowOff>32214</xdr:rowOff>
    </xdr:from>
    <xdr:to>
      <xdr:col>4</xdr:col>
      <xdr:colOff>398317</xdr:colOff>
      <xdr:row>16</xdr:row>
      <xdr:rowOff>138545</xdr:rowOff>
    </xdr:to>
    <xdr:sp macro="" textlink="">
      <xdr:nvSpPr>
        <xdr:cNvPr id="7" name="TextBox 6">
          <a:extLst>
            <a:ext uri="{FF2B5EF4-FFF2-40B4-BE49-F238E27FC236}">
              <a16:creationId xmlns:a16="http://schemas.microsoft.com/office/drawing/2014/main" id="{A271EEBF-4205-4DD8-A56C-11BC0F7B8D44}"/>
            </a:ext>
          </a:extLst>
        </xdr:cNvPr>
        <xdr:cNvSpPr txBox="1"/>
      </xdr:nvSpPr>
      <xdr:spPr>
        <a:xfrm>
          <a:off x="0" y="2370169"/>
          <a:ext cx="2883476" cy="868331"/>
        </a:xfrm>
        <a:prstGeom prst="rect">
          <a:avLst/>
        </a:prstGeom>
        <a:solidFill>
          <a:schemeClr val="accent1">
            <a:lumMod val="60000"/>
            <a:lumOff val="40000"/>
          </a:schemeClr>
        </a:solidFill>
        <a:ln w="9525" cmpd="sng">
          <a:solidFill>
            <a:schemeClr val="accent1">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Vul hieronder het percentage van het dak dat niet bezet is door constructies (installaties, schoorstenen, obstakels), dit is het oppervlak dat beschikbaar is voor maatregelen:</a:t>
          </a:r>
        </a:p>
      </xdr:txBody>
    </xdr:sp>
    <xdr:clientData/>
  </xdr:twoCellAnchor>
  <xdr:twoCellAnchor editAs="oneCell">
    <xdr:from>
      <xdr:col>12</xdr:col>
      <xdr:colOff>93891</xdr:colOff>
      <xdr:row>23</xdr:row>
      <xdr:rowOff>173183</xdr:rowOff>
    </xdr:from>
    <xdr:to>
      <xdr:col>19</xdr:col>
      <xdr:colOff>450272</xdr:colOff>
      <xdr:row>42</xdr:row>
      <xdr:rowOff>93215</xdr:rowOff>
    </xdr:to>
    <xdr:pic>
      <xdr:nvPicPr>
        <xdr:cNvPr id="12" name="Picture 11">
          <a:extLst>
            <a:ext uri="{FF2B5EF4-FFF2-40B4-BE49-F238E27FC236}">
              <a16:creationId xmlns:a16="http://schemas.microsoft.com/office/drawing/2014/main" id="{59B6ED54-0D0A-48B6-A5EB-49A4F9B47D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28141" y="4606638"/>
          <a:ext cx="4599336" cy="3539532"/>
        </a:xfrm>
        <a:prstGeom prst="rect">
          <a:avLst/>
        </a:prstGeom>
      </xdr:spPr>
    </xdr:pic>
    <xdr:clientData/>
  </xdr:twoCellAnchor>
  <xdr:twoCellAnchor editAs="oneCell">
    <xdr:from>
      <xdr:col>8</xdr:col>
      <xdr:colOff>223632</xdr:colOff>
      <xdr:row>6</xdr:row>
      <xdr:rowOff>91109</xdr:rowOff>
    </xdr:from>
    <xdr:to>
      <xdr:col>8</xdr:col>
      <xdr:colOff>591493</xdr:colOff>
      <xdr:row>8</xdr:row>
      <xdr:rowOff>91108</xdr:rowOff>
    </xdr:to>
    <xdr:pic>
      <xdr:nvPicPr>
        <xdr:cNvPr id="3" name="Picture 2">
          <a:extLst>
            <a:ext uri="{FF2B5EF4-FFF2-40B4-BE49-F238E27FC236}">
              <a16:creationId xmlns:a16="http://schemas.microsoft.com/office/drawing/2014/main" id="{E251E97D-E8C4-4360-B438-5043BA3EEE9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648741" y="1283805"/>
          <a:ext cx="367861" cy="380999"/>
        </a:xfrm>
        <a:prstGeom prst="rect">
          <a:avLst/>
        </a:prstGeom>
      </xdr:spPr>
    </xdr:pic>
    <xdr:clientData/>
  </xdr:twoCellAnchor>
  <xdr:twoCellAnchor editAs="oneCell">
    <xdr:from>
      <xdr:col>8</xdr:col>
      <xdr:colOff>231913</xdr:colOff>
      <xdr:row>8</xdr:row>
      <xdr:rowOff>124239</xdr:rowOff>
    </xdr:from>
    <xdr:to>
      <xdr:col>8</xdr:col>
      <xdr:colOff>588205</xdr:colOff>
      <xdr:row>10</xdr:row>
      <xdr:rowOff>132521</xdr:rowOff>
    </xdr:to>
    <xdr:pic>
      <xdr:nvPicPr>
        <xdr:cNvPr id="10" name="Picture 9">
          <a:extLst>
            <a:ext uri="{FF2B5EF4-FFF2-40B4-BE49-F238E27FC236}">
              <a16:creationId xmlns:a16="http://schemas.microsoft.com/office/drawing/2014/main" id="{D28067F9-DA8E-4039-AA9C-00FC372F9EF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657022" y="1697935"/>
          <a:ext cx="356292" cy="389282"/>
        </a:xfrm>
        <a:prstGeom prst="rect">
          <a:avLst/>
        </a:prstGeom>
      </xdr:spPr>
    </xdr:pic>
    <xdr:clientData/>
  </xdr:twoCellAnchor>
  <xdr:twoCellAnchor editAs="oneCell">
    <xdr:from>
      <xdr:col>12</xdr:col>
      <xdr:colOff>90348</xdr:colOff>
      <xdr:row>3</xdr:row>
      <xdr:rowOff>43295</xdr:rowOff>
    </xdr:from>
    <xdr:to>
      <xdr:col>19</xdr:col>
      <xdr:colOff>424295</xdr:colOff>
      <xdr:row>21</xdr:row>
      <xdr:rowOff>136564</xdr:rowOff>
    </xdr:to>
    <xdr:pic>
      <xdr:nvPicPr>
        <xdr:cNvPr id="11" name="Picture 10">
          <a:extLst>
            <a:ext uri="{FF2B5EF4-FFF2-40B4-BE49-F238E27FC236}">
              <a16:creationId xmlns:a16="http://schemas.microsoft.com/office/drawing/2014/main" id="{1F7B99AA-1898-4BD1-B477-631B103B80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57998" y="662420"/>
          <a:ext cx="4601147" cy="3522269"/>
        </a:xfrm>
        <a:prstGeom prst="rect">
          <a:avLst/>
        </a:prstGeom>
      </xdr:spPr>
    </xdr:pic>
    <xdr:clientData/>
  </xdr:twoCellAnchor>
  <xdr:twoCellAnchor>
    <xdr:from>
      <xdr:col>0</xdr:col>
      <xdr:colOff>0</xdr:colOff>
      <xdr:row>11</xdr:row>
      <xdr:rowOff>123322</xdr:rowOff>
    </xdr:from>
    <xdr:to>
      <xdr:col>4</xdr:col>
      <xdr:colOff>398317</xdr:colOff>
      <xdr:row>16</xdr:row>
      <xdr:rowOff>157369</xdr:rowOff>
    </xdr:to>
    <xdr:sp macro="" textlink="">
      <xdr:nvSpPr>
        <xdr:cNvPr id="13" name="TextBox 12">
          <a:extLst>
            <a:ext uri="{FF2B5EF4-FFF2-40B4-BE49-F238E27FC236}">
              <a16:creationId xmlns:a16="http://schemas.microsoft.com/office/drawing/2014/main" id="{2B5CA954-806D-4A64-98F5-D76C8177880E}"/>
            </a:ext>
          </a:extLst>
        </xdr:cNvPr>
        <xdr:cNvSpPr txBox="1"/>
      </xdr:nvSpPr>
      <xdr:spPr>
        <a:xfrm>
          <a:off x="0" y="2266447"/>
          <a:ext cx="2922442" cy="986547"/>
        </a:xfrm>
        <a:prstGeom prst="rect">
          <a:avLst/>
        </a:prstGeom>
        <a:solidFill>
          <a:schemeClr val="accent1">
            <a:lumMod val="60000"/>
            <a:lumOff val="40000"/>
          </a:schemeClr>
        </a:solidFill>
        <a:ln w="9525" cmpd="sng">
          <a:solidFill>
            <a:schemeClr val="accent1">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Vul hieronder het percentage van het dak dat niet bezet is door constructies (installaties, schoorstenen, obstakels), dit is het oppervlak dat beschikbaar is voor maatregelen</a:t>
          </a:r>
          <a:r>
            <a:rPr lang="nl-NL" sz="1100" baseline="0"/>
            <a:t> (hierbij is een schatting voldoende):</a:t>
          </a:r>
        </a:p>
        <a:p>
          <a:endParaRPr lang="nl-NL" sz="1100" baseline="0"/>
        </a:p>
        <a:p>
          <a:endParaRPr lang="nl-NL" sz="1100"/>
        </a:p>
      </xdr:txBody>
    </xdr:sp>
    <xdr:clientData/>
  </xdr:twoCellAnchor>
  <xdr:twoCellAnchor editAs="oneCell">
    <xdr:from>
      <xdr:col>12</xdr:col>
      <xdr:colOff>93891</xdr:colOff>
      <xdr:row>23</xdr:row>
      <xdr:rowOff>173183</xdr:rowOff>
    </xdr:from>
    <xdr:to>
      <xdr:col>19</xdr:col>
      <xdr:colOff>450272</xdr:colOff>
      <xdr:row>42</xdr:row>
      <xdr:rowOff>94458</xdr:rowOff>
    </xdr:to>
    <xdr:pic>
      <xdr:nvPicPr>
        <xdr:cNvPr id="14" name="Picture 13">
          <a:extLst>
            <a:ext uri="{FF2B5EF4-FFF2-40B4-BE49-F238E27FC236}">
              <a16:creationId xmlns:a16="http://schemas.microsoft.com/office/drawing/2014/main" id="{ECAEC8DE-A590-442E-ACA0-A3C6B9C0745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61541" y="4602308"/>
          <a:ext cx="4623581" cy="3540775"/>
        </a:xfrm>
        <a:prstGeom prst="rect">
          <a:avLst/>
        </a:prstGeom>
      </xdr:spPr>
    </xdr:pic>
    <xdr:clientData/>
  </xdr:twoCellAnchor>
  <xdr:twoCellAnchor>
    <xdr:from>
      <xdr:col>0</xdr:col>
      <xdr:colOff>0</xdr:colOff>
      <xdr:row>36</xdr:row>
      <xdr:rowOff>121227</xdr:rowOff>
    </xdr:from>
    <xdr:to>
      <xdr:col>4</xdr:col>
      <xdr:colOff>398317</xdr:colOff>
      <xdr:row>39</xdr:row>
      <xdr:rowOff>157370</xdr:rowOff>
    </xdr:to>
    <xdr:sp macro="" textlink="">
      <xdr:nvSpPr>
        <xdr:cNvPr id="16" name="TextBox 15">
          <a:extLst>
            <a:ext uri="{FF2B5EF4-FFF2-40B4-BE49-F238E27FC236}">
              <a16:creationId xmlns:a16="http://schemas.microsoft.com/office/drawing/2014/main" id="{257F3761-8A1A-4D76-A8C0-439EC1BDAD05}"/>
            </a:ext>
          </a:extLst>
        </xdr:cNvPr>
        <xdr:cNvSpPr txBox="1"/>
      </xdr:nvSpPr>
      <xdr:spPr>
        <a:xfrm>
          <a:off x="0" y="7036377"/>
          <a:ext cx="2922442" cy="607643"/>
        </a:xfrm>
        <a:prstGeom prst="rect">
          <a:avLst/>
        </a:prstGeom>
        <a:solidFill>
          <a:schemeClr val="accent1">
            <a:lumMod val="60000"/>
            <a:lumOff val="40000"/>
          </a:schemeClr>
        </a:solidFill>
        <a:ln w="9525" cmpd="sng">
          <a:solidFill>
            <a:schemeClr val="accent1">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Vul hieronder het percentage in</a:t>
          </a:r>
          <a:r>
            <a:rPr lang="nl-NL" sz="1100" baseline="0"/>
            <a:t> van de tuinen dat verhard is (hierbij is een schatting voldoende):</a:t>
          </a:r>
        </a:p>
        <a:p>
          <a:endParaRPr lang="nl-NL" sz="1100"/>
        </a:p>
      </xdr:txBody>
    </xdr:sp>
    <xdr:clientData/>
  </xdr:twoCellAnchor>
  <xdr:twoCellAnchor editAs="oneCell">
    <xdr:from>
      <xdr:col>8</xdr:col>
      <xdr:colOff>223632</xdr:colOff>
      <xdr:row>6</xdr:row>
      <xdr:rowOff>91109</xdr:rowOff>
    </xdr:from>
    <xdr:to>
      <xdr:col>8</xdr:col>
      <xdr:colOff>591493</xdr:colOff>
      <xdr:row>8</xdr:row>
      <xdr:rowOff>91108</xdr:rowOff>
    </xdr:to>
    <xdr:pic>
      <xdr:nvPicPr>
        <xdr:cNvPr id="17" name="Picture 16">
          <a:extLst>
            <a:ext uri="{FF2B5EF4-FFF2-40B4-BE49-F238E27FC236}">
              <a16:creationId xmlns:a16="http://schemas.microsoft.com/office/drawing/2014/main" id="{AC74C81A-B783-480E-914F-D00AD9C9710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652882" y="1281734"/>
          <a:ext cx="367861" cy="380999"/>
        </a:xfrm>
        <a:prstGeom prst="rect">
          <a:avLst/>
        </a:prstGeom>
      </xdr:spPr>
    </xdr:pic>
    <xdr:clientData/>
  </xdr:twoCellAnchor>
  <xdr:twoCellAnchor editAs="oneCell">
    <xdr:from>
      <xdr:col>8</xdr:col>
      <xdr:colOff>231913</xdr:colOff>
      <xdr:row>8</xdr:row>
      <xdr:rowOff>124239</xdr:rowOff>
    </xdr:from>
    <xdr:to>
      <xdr:col>8</xdr:col>
      <xdr:colOff>588205</xdr:colOff>
      <xdr:row>10</xdr:row>
      <xdr:rowOff>132521</xdr:rowOff>
    </xdr:to>
    <xdr:pic>
      <xdr:nvPicPr>
        <xdr:cNvPr id="18" name="Picture 17">
          <a:extLst>
            <a:ext uri="{FF2B5EF4-FFF2-40B4-BE49-F238E27FC236}">
              <a16:creationId xmlns:a16="http://schemas.microsoft.com/office/drawing/2014/main" id="{EFC354CD-824D-4F22-8A05-083AA56C04B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661163" y="1695864"/>
          <a:ext cx="356292" cy="3892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161925</xdr:rowOff>
    </xdr:from>
    <xdr:to>
      <xdr:col>14</xdr:col>
      <xdr:colOff>387398</xdr:colOff>
      <xdr:row>53</xdr:row>
      <xdr:rowOff>76200</xdr:rowOff>
    </xdr:to>
    <xdr:pic>
      <xdr:nvPicPr>
        <xdr:cNvPr id="3" name="Picture 2">
          <a:extLst>
            <a:ext uri="{FF2B5EF4-FFF2-40B4-BE49-F238E27FC236}">
              <a16:creationId xmlns:a16="http://schemas.microsoft.com/office/drawing/2014/main" id="{08F95D4C-C751-4F5B-B803-0E67508E4F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115050"/>
          <a:ext cx="9779048" cy="4114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602716</xdr:colOff>
      <xdr:row>231</xdr:row>
      <xdr:rowOff>28015</xdr:rowOff>
    </xdr:from>
    <xdr:to>
      <xdr:col>9</xdr:col>
      <xdr:colOff>549058</xdr:colOff>
      <xdr:row>241</xdr:row>
      <xdr:rowOff>96051</xdr:rowOff>
    </xdr:to>
    <xdr:pic>
      <xdr:nvPicPr>
        <xdr:cNvPr id="2" name="Afbeelding 1">
          <a:extLst>
            <a:ext uri="{FF2B5EF4-FFF2-40B4-BE49-F238E27FC236}">
              <a16:creationId xmlns:a16="http://schemas.microsoft.com/office/drawing/2014/main" id="{E18E7B3C-AC00-4E8F-8447-B5F49A1BDD0C}"/>
            </a:ext>
          </a:extLst>
        </xdr:cNvPr>
        <xdr:cNvPicPr>
          <a:picLocks noChangeAspect="1"/>
        </xdr:cNvPicPr>
      </xdr:nvPicPr>
      <xdr:blipFill>
        <a:blip xmlns:r="http://schemas.openxmlformats.org/officeDocument/2006/relationships" r:embed="rId1"/>
        <a:stretch>
          <a:fillRect/>
        </a:stretch>
      </xdr:blipFill>
      <xdr:spPr>
        <a:xfrm>
          <a:off x="5488481" y="48650339"/>
          <a:ext cx="5594106" cy="197303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6AE4D-DA22-4A50-825D-83F8A2A36979}">
  <dimension ref="A1:AI58"/>
  <sheetViews>
    <sheetView zoomScaleNormal="100" workbookViewId="0">
      <selection activeCell="A25" sqref="A25"/>
    </sheetView>
  </sheetViews>
  <sheetFormatPr defaultRowHeight="15"/>
  <cols>
    <col min="1" max="1" width="197.28515625" style="62" customWidth="1"/>
    <col min="2" max="16384" width="9.140625" style="62"/>
  </cols>
  <sheetData>
    <row r="1" spans="1:1" ht="18.75">
      <c r="A1" s="61" t="s">
        <v>73</v>
      </c>
    </row>
    <row r="2" spans="1:1" ht="31.5">
      <c r="A2" s="76" t="s">
        <v>74</v>
      </c>
    </row>
    <row r="4" spans="1:1" ht="15.75">
      <c r="A4" s="76" t="s">
        <v>140</v>
      </c>
    </row>
    <row r="5" spans="1:1" ht="15.75">
      <c r="A5" s="110" t="s">
        <v>191</v>
      </c>
    </row>
    <row r="7" spans="1:1" ht="31.5" customHeight="1">
      <c r="A7" s="76" t="s">
        <v>142</v>
      </c>
    </row>
    <row r="9" spans="1:1" ht="31.5">
      <c r="A9" s="76" t="s">
        <v>226</v>
      </c>
    </row>
    <row r="10" spans="1:1" ht="15.75">
      <c r="A10" s="76" t="s">
        <v>141</v>
      </c>
    </row>
    <row r="12" spans="1:1" ht="28.5" customHeight="1">
      <c r="A12" s="76" t="s">
        <v>143</v>
      </c>
    </row>
    <row r="14" spans="1:1" ht="18.75">
      <c r="A14" s="78" t="s">
        <v>75</v>
      </c>
    </row>
    <row r="15" spans="1:1" ht="15.75">
      <c r="A15" s="75" t="s">
        <v>76</v>
      </c>
    </row>
    <row r="16" spans="1:1">
      <c r="A16" s="62" t="s">
        <v>144</v>
      </c>
    </row>
    <row r="18" spans="1:35" ht="15.75">
      <c r="A18" s="75" t="s">
        <v>116</v>
      </c>
    </row>
    <row r="19" spans="1:35">
      <c r="A19" s="62" t="s">
        <v>145</v>
      </c>
    </row>
    <row r="21" spans="1:35" ht="15.75">
      <c r="A21" s="75" t="s">
        <v>117</v>
      </c>
    </row>
    <row r="22" spans="1:35">
      <c r="A22" s="62" t="s">
        <v>146</v>
      </c>
    </row>
    <row r="24" spans="1:35" ht="15.75">
      <c r="A24" s="75" t="s">
        <v>77</v>
      </c>
    </row>
    <row r="25" spans="1:35">
      <c r="A25" s="68" t="s">
        <v>147</v>
      </c>
    </row>
    <row r="26" spans="1:35">
      <c r="AI26" s="69"/>
    </row>
    <row r="27" spans="1:35" ht="15.75">
      <c r="A27" s="75" t="s">
        <v>78</v>
      </c>
    </row>
    <row r="28" spans="1:35">
      <c r="A28" s="62" t="s">
        <v>79</v>
      </c>
    </row>
    <row r="52" spans="1:1">
      <c r="A52" s="68" t="s">
        <v>80</v>
      </c>
    </row>
    <row r="58" spans="1:1" s="68" customFormat="1"/>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459F-4C43-4028-AB6A-81E9D9511441}">
  <dimension ref="A1:E41"/>
  <sheetViews>
    <sheetView zoomScale="115" zoomScaleNormal="115" workbookViewId="0">
      <selection activeCell="E47" sqref="E47"/>
    </sheetView>
  </sheetViews>
  <sheetFormatPr defaultRowHeight="15"/>
  <cols>
    <col min="1" max="1" width="10.42578125" style="62" customWidth="1"/>
    <col min="2" max="4" width="9.140625" style="62"/>
    <col min="5" max="5" width="16.140625" style="62" customWidth="1"/>
    <col min="6" max="16384" width="9.140625" style="62"/>
  </cols>
  <sheetData>
    <row r="1" spans="1:5" ht="18.75">
      <c r="A1" s="61" t="s">
        <v>76</v>
      </c>
    </row>
    <row r="2" spans="1:5">
      <c r="A2" s="63" t="s">
        <v>168</v>
      </c>
    </row>
    <row r="3" spans="1:5">
      <c r="A3" s="62" t="s">
        <v>169</v>
      </c>
    </row>
    <row r="5" spans="1:5">
      <c r="A5" s="63" t="s">
        <v>81</v>
      </c>
    </row>
    <row r="6" spans="1:5">
      <c r="A6" s="62" t="s">
        <v>85</v>
      </c>
      <c r="B6" s="65">
        <v>1000</v>
      </c>
      <c r="C6" s="62" t="s">
        <v>2</v>
      </c>
      <c r="E6" s="62" t="s">
        <v>148</v>
      </c>
    </row>
    <row r="7" spans="1:5">
      <c r="A7" s="62" t="s">
        <v>82</v>
      </c>
      <c r="B7" s="66">
        <v>600</v>
      </c>
      <c r="C7" s="62" t="s">
        <v>2</v>
      </c>
    </row>
    <row r="8" spans="1:5">
      <c r="A8" s="62" t="s">
        <v>83</v>
      </c>
      <c r="B8" s="66">
        <v>500</v>
      </c>
      <c r="C8" s="62" t="s">
        <v>2</v>
      </c>
      <c r="E8" s="62" t="s">
        <v>149</v>
      </c>
    </row>
    <row r="9" spans="1:5">
      <c r="A9" s="62" t="s">
        <v>84</v>
      </c>
      <c r="B9" s="66">
        <v>400</v>
      </c>
      <c r="C9" s="62" t="s">
        <v>2</v>
      </c>
    </row>
    <row r="10" spans="1:5">
      <c r="A10" s="62" t="s">
        <v>86</v>
      </c>
      <c r="B10" s="66">
        <v>0</v>
      </c>
      <c r="C10" s="62" t="s">
        <v>2</v>
      </c>
      <c r="E10" s="62" t="s">
        <v>150</v>
      </c>
    </row>
    <row r="11" spans="1:5">
      <c r="A11" s="62" t="s">
        <v>87</v>
      </c>
      <c r="B11" s="64">
        <f>SUM(B6:B10)</f>
        <v>2500</v>
      </c>
      <c r="C11" s="62" t="s">
        <v>2</v>
      </c>
    </row>
    <row r="13" spans="1:5">
      <c r="A13" s="63"/>
    </row>
    <row r="18" spans="1:5">
      <c r="A18" s="62" t="s">
        <v>88</v>
      </c>
      <c r="D18" s="67">
        <v>90</v>
      </c>
      <c r="E18" s="62" t="s">
        <v>47</v>
      </c>
    </row>
    <row r="27" spans="1:5">
      <c r="A27" s="63" t="s">
        <v>89</v>
      </c>
    </row>
    <row r="28" spans="1:5">
      <c r="A28" s="62" t="s">
        <v>170</v>
      </c>
    </row>
    <row r="29" spans="1:5">
      <c r="A29" s="62" t="s">
        <v>171</v>
      </c>
    </row>
    <row r="30" spans="1:5">
      <c r="A30" s="62" t="s">
        <v>90</v>
      </c>
      <c r="B30" s="65">
        <v>600</v>
      </c>
      <c r="C30" s="62" t="s">
        <v>2</v>
      </c>
    </row>
    <row r="31" spans="1:5">
      <c r="A31" s="62" t="s">
        <v>91</v>
      </c>
      <c r="B31" s="66">
        <v>1200</v>
      </c>
      <c r="C31" s="62" t="s">
        <v>2</v>
      </c>
      <c r="E31" s="62" t="s">
        <v>172</v>
      </c>
    </row>
    <row r="32" spans="1:5">
      <c r="A32" s="62" t="s">
        <v>92</v>
      </c>
      <c r="B32" s="66">
        <v>900</v>
      </c>
      <c r="C32" s="62" t="s">
        <v>2</v>
      </c>
    </row>
    <row r="33" spans="1:5">
      <c r="A33" s="62" t="s">
        <v>93</v>
      </c>
      <c r="B33" s="66">
        <v>0</v>
      </c>
      <c r="C33" s="62" t="s">
        <v>2</v>
      </c>
    </row>
    <row r="34" spans="1:5">
      <c r="A34" s="62" t="s">
        <v>94</v>
      </c>
      <c r="B34" s="66"/>
      <c r="C34" s="62" t="s">
        <v>2</v>
      </c>
    </row>
    <row r="35" spans="1:5">
      <c r="A35" s="62" t="s">
        <v>87</v>
      </c>
      <c r="B35" s="64">
        <f>SUM(B30:B34)</f>
        <v>2700</v>
      </c>
      <c r="C35" s="62" t="s">
        <v>2</v>
      </c>
    </row>
    <row r="37" spans="1:5">
      <c r="A37" s="63"/>
    </row>
    <row r="41" spans="1:5">
      <c r="A41" s="62" t="s">
        <v>120</v>
      </c>
      <c r="D41" s="38">
        <v>20</v>
      </c>
      <c r="E41" s="62" t="s">
        <v>47</v>
      </c>
    </row>
  </sheetData>
  <dataValidations count="23">
    <dataValidation allowBlank="1" showInputMessage="1" showErrorMessage="1" prompt="Vul hier het oppervlak van dak 1 in." sqref="B6" xr:uid="{8AFFA9D8-01C2-4D36-AFBE-3D5BE31559B3}"/>
    <dataValidation allowBlank="1" showInputMessage="1" showErrorMessage="1" prompt="Vul hier het oppervlak van dak 2 in._x000a_" sqref="B7" xr:uid="{8D24F94E-F253-46EE-905E-4FAC9E634611}"/>
    <dataValidation allowBlank="1" showInputMessage="1" showErrorMessage="1" prompt="Vul hier het oppervlak van dak 3 in." sqref="B8" xr:uid="{65B039D9-E98B-4FB6-88A0-D0F6B1A3362B}"/>
    <dataValidation allowBlank="1" showInputMessage="1" showErrorMessage="1" prompt="Vul hier het oppervlak van dak 4 in._x000a_" sqref="B9" xr:uid="{FDD82FAA-6196-4143-9357-4AA69CDF9D96}"/>
    <dataValidation allowBlank="1" showInputMessage="1" showErrorMessage="1" prompt="Vul hier het oppervlak van dak 5 in._x000a_" sqref="B10" xr:uid="{F60B2D0A-CBD5-4F44-8280-2BF9679175F0}"/>
    <dataValidation allowBlank="1" showInputMessage="1" showErrorMessage="1" prompt="Vul hier de beschikbaarheidsfactor in." sqref="D18" xr:uid="{8E524850-45E0-44DF-96F5-BD8B38C1665A}"/>
    <dataValidation allowBlank="1" showInputMessage="1" showErrorMessage="1" prompt="Het totaal dakoppervlak." sqref="B11" xr:uid="{FAC86B2C-2A54-4BD5-BDEE-527F43933B47}"/>
    <dataValidation allowBlank="1" showInputMessage="1" showErrorMessage="1" prompt="Vul hier het oppervlak van tuin 1 in." sqref="B30" xr:uid="{55615538-EF52-40EC-9A8F-72C73C55E26D}"/>
    <dataValidation allowBlank="1" showInputMessage="1" showErrorMessage="1" prompt="Vul hier het oppervlak van tuin 2 in." sqref="B31" xr:uid="{CF068CC1-749E-4F51-9339-B92812347990}"/>
    <dataValidation allowBlank="1" showInputMessage="1" showErrorMessage="1" prompt="Vul hier het oppervlak van tuin 3 in." sqref="B32" xr:uid="{F0E0F4E9-459D-462C-989E-0D2F6FD40E40}"/>
    <dataValidation allowBlank="1" showInputMessage="1" showErrorMessage="1" prompt="Vul hier het oppervlak van tuin 4 in." sqref="B33" xr:uid="{997D8A74-6ED9-410E-BF41-531B762B55D2}"/>
    <dataValidation allowBlank="1" showInputMessage="1" showErrorMessage="1" prompt="Vul hier het oppervlak van tuin 5 in." sqref="B34" xr:uid="{1DE8D376-2FD7-4E0B-A078-4CF34B714A6E}"/>
    <dataValidation allowBlank="1" showInputMessage="1" showErrorMessage="1" prompt="Het totaal tuinoppervlak." sqref="B35" xr:uid="{3B9B7DA8-FC01-4BD0-AA78-3BBDA33E137C}"/>
    <dataValidation allowBlank="1" showInputMessage="1" showErrorMessage="1" prompt="Vul hier de lengte van beschikbaar gebied 1 in." sqref="B51" xr:uid="{FF34C776-5CB8-4B20-BF61-E43600960C7C}"/>
    <dataValidation allowBlank="1" showInputMessage="1" showErrorMessage="1" prompt="Vul hier de lengte van beschikbaar gebied 3 in._x000a_" sqref="B56" xr:uid="{BFF39326-A572-47B7-905B-E12708A4CF3B}"/>
    <dataValidation allowBlank="1" showInputMessage="1" showErrorMessage="1" prompt="Vul hier de lengte van beschikbaar gebied 4 in._x000a_" sqref="B59" xr:uid="{08391D22-7951-4182-A465-5C3114220285}"/>
    <dataValidation allowBlank="1" showInputMessage="1" showErrorMessage="1" prompt="Vul hier de lengte van beschikbaar gebied 5 in." sqref="B62" xr:uid="{0DB315F5-A1E6-4BBC-8E6F-55A377B4D76F}"/>
    <dataValidation allowBlank="1" showInputMessage="1" showErrorMessage="1" prompt="Vul hier de breedte van beschikbaar gebied 1 in." sqref="B52" xr:uid="{5B633B3F-A240-47B4-A1EE-3FD349CBFAE5}"/>
    <dataValidation allowBlank="1" showInputMessage="1" showErrorMessage="1" prompt="Vul hier de breedte van beschikbaar gebied 2 in." sqref="B54" xr:uid="{02FE0693-07D7-4F69-8C82-F8A9F3209418}"/>
    <dataValidation allowBlank="1" showInputMessage="1" showErrorMessage="1" prompt="Vul hier de breedte van beschikbaar gebied 3 in." sqref="B57" xr:uid="{374662FC-40BA-4F10-BC4C-41D5D722B982}"/>
    <dataValidation allowBlank="1" showInputMessage="1" showErrorMessage="1" prompt="Vul hier de breedte van beschikbaar gebied 5 in." sqref="B63" xr:uid="{5652A8D9-2740-4479-9454-D4A13B0766E0}"/>
    <dataValidation allowBlank="1" showInputMessage="1" showErrorMessage="1" prompt="Vul hier de breedte van beschikbaar gebied 4 in." sqref="B60" xr:uid="{5BB84CA5-62E4-43E3-8D6A-AA182CBFCF74}"/>
    <dataValidation allowBlank="1" showInputMessage="1" showErrorMessage="1" prompt="Vul hier de verhardingsfactor in." sqref="D41" xr:uid="{4EB35F4B-873D-47F4-9767-5B7EC65A24CB}"/>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980A8-3E25-402B-B685-704726C162FD}">
  <dimension ref="A1:O74"/>
  <sheetViews>
    <sheetView zoomScaleNormal="100" workbookViewId="0">
      <selection activeCell="T34" sqref="T34"/>
    </sheetView>
  </sheetViews>
  <sheetFormatPr defaultRowHeight="15"/>
  <cols>
    <col min="1" max="1" width="21.85546875" style="62" customWidth="1"/>
    <col min="2" max="7" width="9.140625" style="62"/>
    <col min="8" max="8" width="1.85546875" style="62" customWidth="1"/>
    <col min="9" max="9" width="9.140625" style="62"/>
    <col min="10" max="10" width="2.140625" style="62" customWidth="1"/>
    <col min="11" max="11" width="10.85546875" style="62" customWidth="1"/>
    <col min="12" max="12" width="24.85546875" style="62" customWidth="1"/>
    <col min="13" max="13" width="8.5703125" style="62" customWidth="1"/>
    <col min="14" max="14" width="6.7109375" style="62" customWidth="1"/>
    <col min="15" max="16384" width="9.140625" style="62"/>
  </cols>
  <sheetData>
    <row r="1" spans="1:15" ht="18.75">
      <c r="A1" s="61" t="s">
        <v>116</v>
      </c>
    </row>
    <row r="2" spans="1:15">
      <c r="A2" s="63" t="s">
        <v>145</v>
      </c>
    </row>
    <row r="3" spans="1:15">
      <c r="A3" s="62" t="s">
        <v>118</v>
      </c>
    </row>
    <row r="6" spans="1:15">
      <c r="A6" s="63" t="s">
        <v>125</v>
      </c>
    </row>
    <row r="7" spans="1:15">
      <c r="A7" s="62" t="s">
        <v>139</v>
      </c>
      <c r="M7" s="84" t="s">
        <v>114</v>
      </c>
      <c r="O7" s="70" t="s">
        <v>173</v>
      </c>
    </row>
    <row r="8" spans="1:15">
      <c r="A8" s="62" t="s">
        <v>138</v>
      </c>
      <c r="M8" s="85" t="s">
        <v>114</v>
      </c>
      <c r="O8" s="70" t="s">
        <v>174</v>
      </c>
    </row>
    <row r="9" spans="1:15">
      <c r="A9" s="62" t="s">
        <v>135</v>
      </c>
      <c r="M9" s="85" t="s">
        <v>114</v>
      </c>
      <c r="O9" s="70" t="s">
        <v>227</v>
      </c>
    </row>
    <row r="10" spans="1:15">
      <c r="M10" s="106"/>
      <c r="O10" s="70"/>
    </row>
    <row r="11" spans="1:15">
      <c r="A11" s="104" t="s">
        <v>130</v>
      </c>
    </row>
    <row r="12" spans="1:15">
      <c r="A12" s="62" t="s">
        <v>127</v>
      </c>
    </row>
    <row r="13" spans="1:15">
      <c r="A13" s="62" t="s">
        <v>128</v>
      </c>
    </row>
    <row r="14" spans="1:15">
      <c r="A14" s="62" t="s">
        <v>129</v>
      </c>
    </row>
    <row r="15" spans="1:15">
      <c r="A15" s="62" t="s">
        <v>237</v>
      </c>
    </row>
    <row r="16" spans="1:15">
      <c r="A16" s="63"/>
    </row>
    <row r="17" spans="1:13">
      <c r="A17" s="100" t="s">
        <v>175</v>
      </c>
    </row>
    <row r="18" spans="1:13">
      <c r="A18" s="101" t="s">
        <v>134</v>
      </c>
      <c r="M18" s="84" t="s">
        <v>115</v>
      </c>
    </row>
    <row r="19" spans="1:13">
      <c r="A19" s="101"/>
      <c r="M19" s="103"/>
    </row>
    <row r="20" spans="1:13">
      <c r="A20" s="101"/>
    </row>
    <row r="21" spans="1:13">
      <c r="A21" s="104" t="s">
        <v>228</v>
      </c>
    </row>
    <row r="22" spans="1:13">
      <c r="A22" s="140" t="s">
        <v>229</v>
      </c>
    </row>
    <row r="23" spans="1:13">
      <c r="A23" s="70" t="s">
        <v>234</v>
      </c>
    </row>
    <row r="25" spans="1:13">
      <c r="A25" s="63" t="s">
        <v>230</v>
      </c>
    </row>
    <row r="26" spans="1:13">
      <c r="A26" s="70" t="s">
        <v>174</v>
      </c>
    </row>
    <row r="28" spans="1:13">
      <c r="A28" s="63" t="s">
        <v>231</v>
      </c>
    </row>
    <row r="29" spans="1:13">
      <c r="A29" s="70" t="s">
        <v>266</v>
      </c>
    </row>
    <row r="30" spans="1:13">
      <c r="A30" s="62" t="s">
        <v>232</v>
      </c>
    </row>
    <row r="31" spans="1:13">
      <c r="A31" s="62" t="s">
        <v>233</v>
      </c>
    </row>
    <row r="46" ht="15.75" customHeight="1"/>
    <row r="55" spans="1:1">
      <c r="A55" s="63"/>
    </row>
    <row r="71" spans="1:1" ht="21">
      <c r="A71" s="71"/>
    </row>
    <row r="72" spans="1:1" ht="21">
      <c r="A72" s="72"/>
    </row>
    <row r="73" spans="1:1" ht="21">
      <c r="A73" s="73"/>
    </row>
    <row r="74" spans="1:1" ht="21">
      <c r="A74" s="72"/>
    </row>
  </sheetData>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Beantwoordt deze vraag met JA of NEE." xr:uid="{00DE33B3-FF9D-4024-B940-515DF94C4981}">
          <x14:formula1>
            <xm:f>Reken!$Q$41:$Q$42</xm:f>
          </x14:formula1>
          <xm:sqref>M7:M9</xm:sqref>
        </x14:dataValidation>
        <x14:dataValidation type="list" allowBlank="1" showInputMessage="1" showErrorMessage="1" prompt="Beantwoordt deze vraag met JA als u het dakwater wilt laten meedoen in de berekening van het advies." xr:uid="{01AA9CF5-5D59-455A-B51A-75DDB61B22F5}">
          <x14:formula1>
            <xm:f>Reken!$Q$42:$Q$43</xm:f>
          </x14:formula1>
          <xm:sqref>M18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2383B-1F67-4C92-B143-00352DF9ACA3}">
  <dimension ref="A1:G14"/>
  <sheetViews>
    <sheetView zoomScale="115" zoomScaleNormal="115" workbookViewId="0">
      <selection activeCell="A15" sqref="A15"/>
    </sheetView>
  </sheetViews>
  <sheetFormatPr defaultRowHeight="15"/>
  <cols>
    <col min="1" max="3" width="9.140625" style="62"/>
    <col min="4" max="4" width="10.140625" style="62" customWidth="1"/>
    <col min="5" max="5" width="9.140625" style="62"/>
    <col min="6" max="6" width="5" style="62" customWidth="1"/>
    <col min="7" max="8" width="9.140625" style="62"/>
    <col min="9" max="9" width="6" style="62" customWidth="1"/>
    <col min="10" max="10" width="3.140625" style="62" customWidth="1"/>
    <col min="11" max="16384" width="9.140625" style="62"/>
  </cols>
  <sheetData>
    <row r="1" spans="1:7" ht="18.75">
      <c r="A1" s="61" t="s">
        <v>117</v>
      </c>
    </row>
    <row r="2" spans="1:7">
      <c r="A2" s="63" t="s">
        <v>275</v>
      </c>
    </row>
    <row r="3" spans="1:7">
      <c r="A3" s="62" t="s">
        <v>269</v>
      </c>
    </row>
    <row r="5" spans="1:7">
      <c r="A5" s="62" t="s">
        <v>119</v>
      </c>
      <c r="F5" s="67">
        <v>90</v>
      </c>
      <c r="G5" s="62" t="s">
        <v>122</v>
      </c>
    </row>
    <row r="7" spans="1:7">
      <c r="A7" s="63" t="s">
        <v>131</v>
      </c>
    </row>
    <row r="8" spans="1:7">
      <c r="A8" s="62" t="s">
        <v>270</v>
      </c>
    </row>
    <row r="9" spans="1:7">
      <c r="A9" s="62" t="s">
        <v>271</v>
      </c>
      <c r="D9" s="62">
        <v>60</v>
      </c>
      <c r="E9" s="62" t="s">
        <v>122</v>
      </c>
    </row>
    <row r="10" spans="1:7">
      <c r="A10" s="62" t="s">
        <v>272</v>
      </c>
      <c r="D10" s="62">
        <v>90</v>
      </c>
      <c r="E10" s="62" t="s">
        <v>122</v>
      </c>
    </row>
    <row r="11" spans="1:7">
      <c r="A11" s="62" t="s">
        <v>273</v>
      </c>
      <c r="D11" s="62">
        <v>120</v>
      </c>
      <c r="E11" s="62" t="s">
        <v>122</v>
      </c>
    </row>
    <row r="12" spans="1:7">
      <c r="A12" s="62" t="s">
        <v>274</v>
      </c>
      <c r="D12" s="62">
        <v>150</v>
      </c>
      <c r="E12" s="62" t="s">
        <v>122</v>
      </c>
    </row>
    <row r="14" spans="1:7">
      <c r="A14" s="70" t="s">
        <v>276</v>
      </c>
    </row>
  </sheetData>
  <dataValidations count="2">
    <dataValidation allowBlank="1" showInputMessage="1" showErrorMessage="1" prompt="Vul hier een T-situatie in op basis van bovenstaande tabel." sqref="E30" xr:uid="{A89C71CA-0972-44BD-BC9D-496159797CD2}"/>
    <dataValidation allowBlank="1" showInputMessage="1" showErrorMessage="1" prompt="Vul hier een neerslagsom in mm in." sqref="F5" xr:uid="{847158BB-EA86-41CD-AA25-36FC89522FEA}"/>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9BBFF-7794-4227-A1E2-FFE0638888FD}">
  <dimension ref="A1:S132"/>
  <sheetViews>
    <sheetView zoomScale="160" zoomScaleNormal="160" workbookViewId="0">
      <selection activeCell="B5" sqref="B5"/>
    </sheetView>
  </sheetViews>
  <sheetFormatPr defaultRowHeight="15"/>
  <cols>
    <col min="1" max="1" width="19" style="62" customWidth="1"/>
    <col min="2" max="2" width="10" style="62" customWidth="1"/>
    <col min="3" max="3" width="10.42578125" style="62" customWidth="1"/>
    <col min="4" max="4" width="6.85546875" style="62" customWidth="1"/>
    <col min="5" max="5" width="6.140625" style="62" customWidth="1"/>
    <col min="6" max="6" width="17.140625" style="62" customWidth="1"/>
    <col min="7" max="7" width="10.28515625" style="62" customWidth="1"/>
    <col min="8" max="8" width="8.42578125" style="62" customWidth="1"/>
    <col min="9" max="9" width="9.140625" style="62"/>
    <col min="10" max="10" width="12.7109375" style="62" customWidth="1"/>
    <col min="11" max="11" width="4.42578125" style="62" customWidth="1"/>
    <col min="12" max="16384" width="9.140625" style="62"/>
  </cols>
  <sheetData>
    <row r="1" spans="1:17" ht="18.75">
      <c r="A1" s="61" t="s">
        <v>77</v>
      </c>
    </row>
    <row r="2" spans="1:17">
      <c r="A2" s="62" t="s">
        <v>238</v>
      </c>
    </row>
    <row r="4" spans="1:17">
      <c r="A4" s="63" t="s">
        <v>224</v>
      </c>
    </row>
    <row r="5" spans="1:17">
      <c r="A5" s="62" t="s">
        <v>121</v>
      </c>
      <c r="B5" s="64">
        <f>Reken!R6</f>
        <v>90</v>
      </c>
      <c r="C5" s="62" t="s">
        <v>122</v>
      </c>
      <c r="J5" s="74"/>
    </row>
    <row r="6" spans="1:17">
      <c r="A6" s="62" t="s">
        <v>123</v>
      </c>
      <c r="J6" s="74"/>
    </row>
    <row r="7" spans="1:17">
      <c r="A7" s="62" t="s">
        <v>96</v>
      </c>
      <c r="B7" s="81">
        <f>Reken!R7</f>
        <v>225</v>
      </c>
      <c r="C7" s="62" t="s">
        <v>99</v>
      </c>
      <c r="J7" s="74"/>
    </row>
    <row r="8" spans="1:17">
      <c r="A8" s="62" t="s">
        <v>97</v>
      </c>
      <c r="B8" s="82">
        <f>Reken!R8</f>
        <v>243</v>
      </c>
      <c r="C8" s="62" t="s">
        <v>100</v>
      </c>
    </row>
    <row r="9" spans="1:17">
      <c r="A9" s="62" t="s">
        <v>98</v>
      </c>
      <c r="B9" s="83">
        <f>Reken!R10</f>
        <v>468</v>
      </c>
      <c r="C9" s="62" t="s">
        <v>95</v>
      </c>
    </row>
    <row r="11" spans="1:17">
      <c r="A11" s="63"/>
    </row>
    <row r="12" spans="1:17">
      <c r="A12" s="63" t="s">
        <v>225</v>
      </c>
    </row>
    <row r="13" spans="1:17">
      <c r="A13" s="62" t="str">
        <f>IF('Invoer factoren'!$M$18="NEE",Reken!S48,Reken!R48)</f>
        <v>Al het dakwater wordt direct op het riool afgevoerd. Er wordt alleen gekeken naar het water dat op de tuinen valt.</v>
      </c>
    </row>
    <row r="14" spans="1:17">
      <c r="A14" s="62" t="s">
        <v>263</v>
      </c>
      <c r="E14" s="64" t="str">
        <f>Reken!R31 &amp; "%."</f>
        <v>20%.</v>
      </c>
      <c r="F14" s="62" t="s">
        <v>264</v>
      </c>
    </row>
    <row r="15" spans="1:17">
      <c r="A15" s="62" t="s">
        <v>133</v>
      </c>
      <c r="D15" s="64">
        <f>ROUND(Reken!R9,0)</f>
        <v>221</v>
      </c>
      <c r="E15" s="62" t="s">
        <v>265</v>
      </c>
      <c r="N15" s="74"/>
      <c r="O15" s="74"/>
      <c r="P15" s="74"/>
    </row>
    <row r="16" spans="1:17">
      <c r="A16" s="62" t="str">
        <f>IF('Invoer factoren'!M7="JA",Reken!R47,Reken!S47)</f>
        <v>U heeft aangegeven dat het gebied bijna jaarlijks te maken heeft met wateroverlast. Dit indiceert dat het gebied onvoldoende capaciteit heeft om water te verwerken en kwetsbaar is. Overweeg mogelijk een hoger ambitieniveau te selecteren.</v>
      </c>
      <c r="E16" s="74"/>
      <c r="F16" s="74"/>
      <c r="G16" s="74"/>
      <c r="H16" s="74"/>
      <c r="I16" s="74"/>
      <c r="J16" s="74"/>
      <c r="K16" s="74"/>
      <c r="L16" s="74"/>
      <c r="M16" s="74"/>
      <c r="Q16" s="74"/>
    </row>
    <row r="17" spans="1:7">
      <c r="E17" s="70"/>
    </row>
    <row r="18" spans="1:7">
      <c r="A18" s="63" t="s">
        <v>126</v>
      </c>
    </row>
    <row r="19" spans="1:7">
      <c r="A19" s="62" t="str">
        <f>IF(Reken!Q57="1",Reken!R51,IF(Reken!Q57="2",Reken!R52,IF(Reken!Q57="3",Reken!R53,IF(Reken!Q57="4",Reken!R54," "))))</f>
        <v>Op basis van de gebiedsfactoren worden bovengrondse bergende en infiltrerende maatregelen aangeraden, omdat het gebied veel open ruimte bevat en voldoende infiltratiecapaciteit heeft.</v>
      </c>
    </row>
    <row r="20" spans="1:7">
      <c r="A20" s="62" t="s">
        <v>217</v>
      </c>
    </row>
    <row r="21" spans="1:7">
      <c r="A21" s="108" t="s">
        <v>126</v>
      </c>
      <c r="B21" s="139" t="s">
        <v>243</v>
      </c>
      <c r="E21" s="139"/>
    </row>
    <row r="22" spans="1:7">
      <c r="A22" s="70" t="str" cm="1">
        <f t="array" ref="A22:A25">IF(Reken!Q57="1",Reken!Q62:Q65,IF(Reken!Q57="2",Reken!Q69:Q70,IF(Reken!Q57="3",Reken!Q74:Q80,IF(Reken!Q57="4",Reken!Q85:Q88," "))))</f>
        <v>- Waterplein</v>
      </c>
      <c r="B22" s="62" t="str" cm="1">
        <f t="array" ref="B22:B25">IF(Reken!Q57="1",Reken!R62:R65,IF(Reken!Q57="2",Reken!R69:R70,IF(Reken!Q57="3",Reken!R74:R80,IF(Reken!Q57="4",Reken!R85:R88," "))))</f>
        <v>(bergend)</v>
      </c>
    </row>
    <row r="23" spans="1:7">
      <c r="A23" s="70" t="str">
        <v>- Greppel</v>
      </c>
      <c r="B23" s="62" t="str">
        <v>(bergend, optioneel infiltrerend)</v>
      </c>
    </row>
    <row r="24" spans="1:7">
      <c r="A24" s="70" t="str">
        <v>- Wadi</v>
      </c>
      <c r="B24" s="62" t="str">
        <v>(bergend, infiltrerend)</v>
      </c>
    </row>
    <row r="25" spans="1:7">
      <c r="A25" s="62" t="str">
        <v>- Grindkoffer</v>
      </c>
      <c r="B25" s="62" t="str">
        <v>(bergend, infiltrerend)</v>
      </c>
    </row>
    <row r="30" spans="1:7">
      <c r="A30" s="63" t="s">
        <v>124</v>
      </c>
    </row>
    <row r="31" spans="1:7">
      <c r="A31" s="62" t="s">
        <v>218</v>
      </c>
    </row>
    <row r="32" spans="1:7">
      <c r="B32" s="62" t="s">
        <v>279</v>
      </c>
      <c r="D32" s="62" t="s">
        <v>280</v>
      </c>
      <c r="G32" s="62" t="s">
        <v>219</v>
      </c>
    </row>
    <row r="33" spans="1:14">
      <c r="A33" s="62" t="str" cm="1">
        <f t="array" ref="A33:A36">IF(Reken!Q57="1",Reken!Q62:Q65,IF(Reken!Q57="2",Reken!Q69:Q70,IF(Reken!Q57="3",Reken!Q74:Q81,IF(Reken!Q57="4",Reken!Q85:Q89," "))))</f>
        <v>- Waterplein</v>
      </c>
      <c r="B33" s="62" cm="1">
        <f t="array" ref="B33:B36">IF(Reken!Q57="1",Reken!S62:S65,IF(Reken!Q57="2",Reken!S74:S81,IF(Reken!Q57="3",Reken!S74:S81,IF(Reken!Q57="4",Reken!S85:S89," "))))</f>
        <v>554</v>
      </c>
      <c r="C33" s="62" t="str" cm="1">
        <f t="array" ref="C33:C36">IF(Reken!Q57="1",Reken!T62:T65,IF(Reken!Q57="2",Reken!T69:T70,IF(Reken!Q57="3",Reken!T74:T81,IF(Reken!Q57="4",Reken!T85:T89," "))))</f>
        <v>m2</v>
      </c>
      <c r="D33" s="62" cm="1">
        <f t="array" ref="D33:D36">IF(Reken!Q57="1",Reken!V62:V65,IF(Reken!Q57="2",Reken!V69:V70,IF(Reken!Q57="3",Reken!V74:V81,IF(Reken!Q57="4",Reken!V85:V89," "))))</f>
        <v>21</v>
      </c>
      <c r="E33" s="152" t="s">
        <v>47</v>
      </c>
      <c r="G33" s="62" t="str" cm="1">
        <f t="array" ref="G33:G36">IF(Reken!Q57="1",Reken!U62:U65,IF(Reken!Q57="2",Reken!U69:U70,IF(Reken!Q57="3",Reken!U74:U81,IF(Reken!Q57="4",Reken!U85:U89," "))))</f>
        <v>€66420 - €664200</v>
      </c>
    </row>
    <row r="34" spans="1:14">
      <c r="A34" s="62" t="str">
        <v>- Greppel</v>
      </c>
      <c r="B34" s="62">
        <v>709</v>
      </c>
      <c r="C34" s="62" t="str">
        <v>m2</v>
      </c>
      <c r="D34" s="62">
        <v>26</v>
      </c>
      <c r="E34" s="152" t="s">
        <v>47</v>
      </c>
      <c r="G34" s="62" t="str">
        <v>€70848 - €141696</v>
      </c>
    </row>
    <row r="35" spans="1:14">
      <c r="A35" s="62" t="str">
        <v>- Wadi</v>
      </c>
      <c r="B35" s="62">
        <v>856</v>
      </c>
      <c r="C35" s="62" t="str">
        <v>m2</v>
      </c>
      <c r="D35" s="62">
        <v>32</v>
      </c>
      <c r="E35" s="152" t="s">
        <v>47</v>
      </c>
      <c r="G35" s="62" t="str">
        <v>€64155 - €64155</v>
      </c>
    </row>
    <row r="36" spans="1:14">
      <c r="A36" s="62" t="str">
        <v>- Grindkoffer</v>
      </c>
      <c r="B36" s="62">
        <v>1166</v>
      </c>
      <c r="C36" s="62" t="str">
        <v>m2</v>
      </c>
      <c r="D36" s="62">
        <v>43</v>
      </c>
      <c r="E36" s="152" t="s">
        <v>47</v>
      </c>
      <c r="G36" s="62" t="str">
        <v>€215573 - €215573</v>
      </c>
      <c r="N36" s="107"/>
    </row>
    <row r="38" spans="1:14">
      <c r="A38" s="63" t="s">
        <v>256</v>
      </c>
    </row>
    <row r="39" spans="1:14">
      <c r="A39" s="139" t="s">
        <v>257</v>
      </c>
      <c r="C39" s="139" t="s">
        <v>258</v>
      </c>
    </row>
    <row r="40" spans="1:14">
      <c r="A40" s="62" t="str" cm="1">
        <f t="array" ref="A40:A43">IF(Reken!Q57="1",Reken!Q62:Q65,IF(Reken!Q57="2",Reken!Q69:Q70,IF(Reken!Q57="3",Reken!Q74:Q81,IF(Reken!Q57="4",Reken!Q85:Q89," "))))</f>
        <v>- Waterplein</v>
      </c>
      <c r="C40" s="62" t="str" cm="1">
        <f t="array" ref="C40:C43">IF(Reken!Q57="1",Reken!W62:W65,IF(Reken!Q57="2",Reken!W69:W70,IF(Reken!Q57="3",Reken!W74:W81,IF(Reken!Q57="4",Reken!W85:W89," "))))</f>
        <v>Diepte 0.4m, talud 1:0.</v>
      </c>
    </row>
    <row r="41" spans="1:14">
      <c r="A41" s="62" t="str">
        <v>- Greppel</v>
      </c>
      <c r="C41" s="62" t="str">
        <v>Talud 1:3, bodemdiepte 0.5m, bodembreedte 1m.</v>
      </c>
    </row>
    <row r="42" spans="1:14">
      <c r="A42" s="68" t="str">
        <v>- Wadi</v>
      </c>
      <c r="C42" s="62" t="str">
        <v>Talud 1:3, bodemdiepte 0.4m, bodembreedte 1m.</v>
      </c>
    </row>
    <row r="43" spans="1:14">
      <c r="A43" s="62" t="str">
        <v>- Grindkoffer</v>
      </c>
      <c r="C43" s="62" t="str">
        <v>Diepte 0.5m, bergingscapaciteit grind 38%.</v>
      </c>
    </row>
    <row r="48" spans="1:14">
      <c r="A48" s="68"/>
    </row>
    <row r="49" spans="1:1">
      <c r="A49" s="146"/>
    </row>
    <row r="50" spans="1:1">
      <c r="A50" s="109"/>
    </row>
    <row r="66" spans="1:19">
      <c r="A66" s="74"/>
      <c r="B66" s="74"/>
      <c r="C66" s="74"/>
      <c r="D66" s="74"/>
      <c r="E66" s="74"/>
      <c r="F66" s="74"/>
      <c r="G66" s="74"/>
      <c r="H66" s="74"/>
      <c r="I66" s="74"/>
      <c r="J66" s="74"/>
      <c r="K66" s="74"/>
      <c r="L66" s="74"/>
    </row>
    <row r="67" spans="1:19">
      <c r="A67" s="74"/>
      <c r="B67" s="74"/>
      <c r="C67" s="74"/>
      <c r="D67" s="74"/>
      <c r="E67" s="74"/>
      <c r="F67" s="74"/>
      <c r="G67" s="74"/>
      <c r="H67" s="74"/>
      <c r="I67" s="74"/>
      <c r="J67" s="74"/>
      <c r="K67" s="74"/>
      <c r="L67" s="74"/>
    </row>
    <row r="68" spans="1:19">
      <c r="A68" s="130"/>
      <c r="B68" s="74"/>
      <c r="C68" s="74"/>
      <c r="D68" s="74"/>
      <c r="E68" s="74"/>
      <c r="F68" s="74"/>
      <c r="G68" s="74"/>
      <c r="H68" s="74"/>
      <c r="I68" s="74"/>
      <c r="J68" s="74"/>
      <c r="K68" s="74"/>
      <c r="L68" s="74"/>
    </row>
    <row r="69" spans="1:19">
      <c r="A69" s="74"/>
      <c r="B69" s="74"/>
      <c r="C69" s="74"/>
      <c r="D69" s="74"/>
      <c r="E69" s="74"/>
      <c r="F69" s="74"/>
      <c r="G69" s="74"/>
      <c r="H69" s="74"/>
      <c r="I69" s="74"/>
      <c r="J69" s="74"/>
      <c r="K69" s="74"/>
      <c r="L69" s="74"/>
    </row>
    <row r="70" spans="1:19">
      <c r="A70" s="130"/>
      <c r="B70" s="74"/>
      <c r="C70" s="74"/>
      <c r="D70" s="74"/>
      <c r="E70" s="74"/>
      <c r="F70" s="74"/>
      <c r="G70" s="74"/>
      <c r="H70" s="74"/>
      <c r="I70" s="74"/>
      <c r="J70" s="74"/>
      <c r="K70" s="74"/>
      <c r="L70" s="74"/>
    </row>
    <row r="71" spans="1:19">
      <c r="A71" s="74"/>
      <c r="B71" s="74"/>
      <c r="C71" s="74"/>
      <c r="D71" s="74"/>
      <c r="E71" s="74"/>
      <c r="F71" s="74"/>
      <c r="G71" s="74"/>
      <c r="H71" s="74"/>
      <c r="I71" s="74"/>
      <c r="J71" s="74"/>
      <c r="K71" s="74"/>
      <c r="L71" s="74"/>
    </row>
    <row r="72" spans="1:19">
      <c r="A72" s="74"/>
      <c r="B72" s="74"/>
      <c r="C72" s="74"/>
      <c r="D72" s="74"/>
      <c r="E72" s="74"/>
      <c r="F72" s="74"/>
      <c r="G72" s="74"/>
      <c r="H72" s="74"/>
      <c r="I72" s="74"/>
      <c r="J72" s="74"/>
      <c r="K72" s="74"/>
      <c r="L72" s="74"/>
    </row>
    <row r="73" spans="1:19">
      <c r="A73" s="74"/>
      <c r="B73" s="74"/>
      <c r="C73" s="74"/>
      <c r="D73" s="74"/>
      <c r="E73" s="74"/>
      <c r="F73" s="74"/>
      <c r="G73" s="74"/>
      <c r="H73" s="74"/>
      <c r="I73" s="74"/>
      <c r="J73" s="74"/>
      <c r="K73" s="74"/>
      <c r="L73" s="74"/>
    </row>
    <row r="74" spans="1:19">
      <c r="A74" s="130"/>
      <c r="B74" s="74"/>
      <c r="C74" s="74"/>
      <c r="D74" s="74"/>
      <c r="E74" s="74"/>
      <c r="F74" s="74"/>
      <c r="G74" s="74"/>
      <c r="H74" s="74"/>
      <c r="I74" s="74"/>
      <c r="J74" s="74"/>
      <c r="K74" s="74"/>
      <c r="L74" s="74"/>
    </row>
    <row r="75" spans="1:19">
      <c r="A75" s="74"/>
      <c r="B75" s="74"/>
      <c r="C75" s="74"/>
      <c r="D75" s="74"/>
      <c r="E75" s="74"/>
      <c r="F75" s="74"/>
      <c r="G75" s="74"/>
      <c r="H75" s="74"/>
      <c r="I75" s="74"/>
      <c r="J75" s="74"/>
      <c r="K75" s="74"/>
      <c r="L75" s="74"/>
    </row>
    <row r="76" spans="1:19">
      <c r="A76" s="74"/>
      <c r="B76" s="74"/>
      <c r="C76" s="74"/>
      <c r="D76" s="74"/>
      <c r="E76" s="74"/>
      <c r="F76" s="74"/>
      <c r="G76" s="74"/>
      <c r="H76" s="74"/>
      <c r="I76" s="74"/>
      <c r="J76" s="74"/>
      <c r="K76" s="74"/>
      <c r="L76" s="74"/>
    </row>
    <row r="77" spans="1:19">
      <c r="A77" s="74"/>
      <c r="B77" s="74"/>
      <c r="C77" s="74"/>
      <c r="D77" s="74"/>
      <c r="E77" s="74"/>
      <c r="F77" s="74"/>
      <c r="G77" s="74"/>
      <c r="H77" s="74"/>
      <c r="I77" s="74"/>
      <c r="J77" s="74"/>
      <c r="K77" s="74"/>
      <c r="L77" s="74"/>
    </row>
    <row r="78" spans="1:19">
      <c r="A78" s="74"/>
      <c r="B78" s="74"/>
      <c r="C78" s="74"/>
      <c r="D78" s="74"/>
      <c r="E78" s="74"/>
      <c r="F78" s="74"/>
      <c r="G78" s="74"/>
      <c r="H78" s="74"/>
      <c r="I78" s="74"/>
      <c r="J78" s="74"/>
      <c r="K78" s="74"/>
      <c r="L78" s="74"/>
    </row>
    <row r="79" spans="1:19">
      <c r="A79" s="74"/>
      <c r="B79" s="74"/>
      <c r="C79" s="74"/>
      <c r="D79" s="74"/>
      <c r="E79" s="74"/>
      <c r="F79" s="74"/>
      <c r="G79" s="74"/>
      <c r="H79" s="74"/>
      <c r="I79" s="74"/>
      <c r="J79" s="74"/>
      <c r="K79" s="74"/>
      <c r="L79" s="74"/>
      <c r="M79" s="74"/>
      <c r="N79" s="74"/>
      <c r="O79" s="74"/>
      <c r="P79" s="74"/>
    </row>
    <row r="80" spans="1:19">
      <c r="A80" s="74"/>
      <c r="B80" s="74"/>
      <c r="C80" s="74"/>
      <c r="D80" s="74"/>
      <c r="E80" s="74"/>
      <c r="F80" s="74"/>
      <c r="G80" s="74"/>
      <c r="H80" s="74"/>
      <c r="I80" s="74"/>
      <c r="J80" s="74"/>
      <c r="K80" s="74"/>
      <c r="L80" s="74"/>
      <c r="M80" s="74"/>
      <c r="N80" s="74"/>
      <c r="O80" s="74"/>
      <c r="P80" s="74"/>
      <c r="Q80" s="74"/>
      <c r="R80" s="74"/>
      <c r="S80" s="74"/>
    </row>
    <row r="81" spans="1:19">
      <c r="A81" s="74"/>
      <c r="B81" s="74"/>
      <c r="C81" s="74"/>
      <c r="D81" s="74"/>
      <c r="E81" s="74"/>
      <c r="F81" s="74"/>
      <c r="G81" s="74"/>
      <c r="H81" s="74"/>
      <c r="I81" s="74"/>
      <c r="J81" s="74"/>
      <c r="K81" s="74"/>
      <c r="L81" s="74"/>
      <c r="M81" s="74"/>
      <c r="N81" s="74"/>
      <c r="O81" s="74"/>
      <c r="P81" s="74"/>
      <c r="Q81" s="74"/>
      <c r="R81" s="74"/>
      <c r="S81" s="74"/>
    </row>
    <row r="82" spans="1:19">
      <c r="A82" s="74"/>
      <c r="B82" s="74"/>
      <c r="C82" s="74"/>
      <c r="D82" s="74"/>
      <c r="E82" s="74"/>
      <c r="F82" s="74"/>
      <c r="G82" s="74"/>
      <c r="H82" s="74"/>
      <c r="I82" s="74"/>
      <c r="J82" s="74"/>
      <c r="K82" s="74"/>
      <c r="L82" s="74"/>
      <c r="M82" s="74"/>
      <c r="N82" s="74"/>
      <c r="O82" s="74"/>
      <c r="P82" s="74"/>
      <c r="Q82" s="74"/>
      <c r="R82" s="74"/>
      <c r="S82" s="74"/>
    </row>
    <row r="83" spans="1:19">
      <c r="A83" s="130"/>
      <c r="B83" s="74"/>
      <c r="C83" s="74"/>
      <c r="D83" s="74"/>
      <c r="E83" s="74"/>
      <c r="F83" s="74"/>
      <c r="G83" s="74"/>
      <c r="H83" s="74"/>
      <c r="I83" s="74"/>
      <c r="J83" s="74"/>
      <c r="K83" s="74"/>
      <c r="L83" s="74"/>
      <c r="M83" s="74"/>
      <c r="N83" s="74"/>
      <c r="O83" s="74"/>
      <c r="P83" s="74"/>
      <c r="Q83" s="74"/>
      <c r="R83" s="74"/>
      <c r="S83" s="74"/>
    </row>
    <row r="84" spans="1:19">
      <c r="A84" s="74"/>
      <c r="B84" s="74"/>
      <c r="C84" s="98"/>
      <c r="D84" s="74"/>
      <c r="E84" s="99"/>
      <c r="F84" s="74"/>
      <c r="G84" s="74"/>
      <c r="H84" s="74"/>
      <c r="I84" s="74"/>
      <c r="J84" s="74"/>
      <c r="K84" s="74"/>
      <c r="L84" s="74"/>
      <c r="M84" s="74"/>
      <c r="N84" s="74"/>
      <c r="O84" s="74"/>
      <c r="P84" s="74"/>
      <c r="Q84" s="74"/>
      <c r="R84" s="74"/>
      <c r="S84" s="74"/>
    </row>
    <row r="85" spans="1:19">
      <c r="A85" s="74"/>
      <c r="B85" s="74"/>
      <c r="C85" s="98"/>
      <c r="D85" s="74"/>
      <c r="E85" s="99"/>
      <c r="F85" s="74"/>
      <c r="G85" s="74"/>
      <c r="H85" s="74"/>
      <c r="I85" s="74"/>
      <c r="J85" s="74"/>
      <c r="K85" s="74"/>
      <c r="L85" s="74"/>
      <c r="M85" s="74"/>
      <c r="N85" s="74"/>
      <c r="O85" s="74"/>
      <c r="P85" s="74"/>
      <c r="Q85" s="74"/>
      <c r="R85" s="74"/>
      <c r="S85" s="74"/>
    </row>
    <row r="86" spans="1:19">
      <c r="A86" s="74"/>
      <c r="B86" s="74"/>
      <c r="C86" s="98"/>
      <c r="D86" s="74"/>
      <c r="E86" s="99"/>
      <c r="F86" s="74"/>
      <c r="G86" s="74"/>
      <c r="H86" s="74"/>
      <c r="I86" s="74"/>
      <c r="J86" s="74"/>
      <c r="K86" s="74"/>
      <c r="L86" s="74"/>
      <c r="M86" s="74"/>
      <c r="N86" s="74"/>
      <c r="O86" s="74"/>
      <c r="P86" s="74"/>
      <c r="Q86" s="74"/>
      <c r="R86" s="74"/>
      <c r="S86" s="74"/>
    </row>
    <row r="87" spans="1:19">
      <c r="A87" s="74"/>
      <c r="B87" s="74"/>
      <c r="C87" s="98"/>
      <c r="D87" s="74"/>
      <c r="E87" s="99"/>
      <c r="F87" s="74"/>
      <c r="G87" s="74"/>
      <c r="H87" s="74"/>
      <c r="I87" s="74"/>
      <c r="J87" s="74"/>
      <c r="K87" s="74"/>
      <c r="L87" s="74"/>
      <c r="M87" s="74"/>
      <c r="N87" s="74"/>
      <c r="O87" s="74"/>
      <c r="P87" s="74"/>
      <c r="Q87" s="74"/>
      <c r="R87" s="74"/>
      <c r="S87" s="74"/>
    </row>
    <row r="88" spans="1:19">
      <c r="A88" s="74"/>
      <c r="B88" s="74"/>
      <c r="C88" s="98"/>
      <c r="D88" s="74"/>
      <c r="E88" s="99"/>
      <c r="F88" s="74"/>
      <c r="G88" s="74"/>
      <c r="H88" s="74"/>
      <c r="I88" s="74"/>
      <c r="J88" s="74"/>
      <c r="K88" s="74"/>
      <c r="L88" s="74"/>
      <c r="M88" s="74"/>
      <c r="N88" s="74"/>
      <c r="O88" s="74"/>
      <c r="P88" s="74"/>
      <c r="Q88" s="74"/>
      <c r="R88" s="74"/>
      <c r="S88" s="74"/>
    </row>
    <row r="89" spans="1:19">
      <c r="A89" s="74"/>
      <c r="B89" s="74"/>
      <c r="C89" s="98"/>
      <c r="D89" s="74"/>
      <c r="E89" s="74"/>
      <c r="F89" s="74"/>
      <c r="G89" s="74"/>
      <c r="H89" s="74"/>
      <c r="I89" s="74"/>
      <c r="J89" s="74"/>
      <c r="K89" s="74"/>
      <c r="L89" s="74"/>
      <c r="M89" s="74"/>
      <c r="N89" s="74"/>
      <c r="O89" s="74"/>
      <c r="P89" s="74"/>
      <c r="Q89" s="74"/>
      <c r="R89" s="74"/>
      <c r="S89" s="74"/>
    </row>
    <row r="90" spans="1:19">
      <c r="A90" s="74"/>
      <c r="B90" s="74"/>
      <c r="C90" s="98"/>
      <c r="D90" s="74"/>
      <c r="E90" s="74"/>
      <c r="F90" s="74"/>
      <c r="G90" s="74"/>
      <c r="H90" s="74"/>
      <c r="I90" s="74"/>
      <c r="J90" s="74"/>
      <c r="K90" s="74"/>
      <c r="L90" s="74"/>
      <c r="M90" s="74"/>
      <c r="N90" s="74"/>
      <c r="O90" s="74"/>
      <c r="P90" s="74"/>
      <c r="Q90" s="74"/>
      <c r="R90" s="74"/>
      <c r="S90" s="74"/>
    </row>
    <row r="91" spans="1:19">
      <c r="A91" s="74"/>
      <c r="B91" s="74"/>
      <c r="C91" s="98"/>
      <c r="D91" s="74"/>
      <c r="E91" s="74"/>
      <c r="F91" s="74"/>
      <c r="G91" s="74"/>
      <c r="H91" s="74"/>
      <c r="I91" s="74"/>
      <c r="J91" s="74"/>
      <c r="K91" s="74"/>
      <c r="L91" s="74"/>
      <c r="M91" s="74"/>
      <c r="N91" s="74"/>
      <c r="O91" s="74"/>
      <c r="P91" s="74"/>
      <c r="Q91" s="74"/>
      <c r="R91" s="74"/>
      <c r="S91" s="74"/>
    </row>
    <row r="92" spans="1:19">
      <c r="A92" s="74"/>
      <c r="B92" s="74"/>
      <c r="C92" s="98"/>
      <c r="D92" s="74"/>
      <c r="E92" s="74"/>
      <c r="F92" s="74"/>
      <c r="G92" s="74"/>
      <c r="H92" s="74"/>
      <c r="I92" s="74"/>
      <c r="J92" s="74"/>
      <c r="K92" s="74"/>
      <c r="L92" s="74"/>
      <c r="M92" s="74"/>
      <c r="N92" s="74"/>
      <c r="O92" s="74"/>
      <c r="P92" s="74"/>
      <c r="Q92" s="74"/>
      <c r="R92" s="74"/>
      <c r="S92" s="74"/>
    </row>
    <row r="93" spans="1:19">
      <c r="A93" s="74"/>
      <c r="B93" s="74"/>
      <c r="C93" s="74"/>
      <c r="D93" s="74"/>
      <c r="E93" s="74"/>
      <c r="F93" s="74"/>
      <c r="G93" s="74"/>
      <c r="H93" s="74"/>
      <c r="I93" s="74"/>
      <c r="J93" s="74"/>
      <c r="K93" s="74"/>
      <c r="L93" s="74"/>
      <c r="M93" s="74"/>
      <c r="N93" s="74"/>
      <c r="O93" s="74"/>
      <c r="P93" s="74"/>
      <c r="Q93" s="74"/>
      <c r="R93" s="74"/>
      <c r="S93" s="74"/>
    </row>
    <row r="94" spans="1:19">
      <c r="A94" s="74"/>
      <c r="B94" s="74"/>
      <c r="C94" s="74"/>
      <c r="D94" s="74"/>
      <c r="E94" s="74"/>
      <c r="F94" s="74"/>
      <c r="G94" s="74"/>
      <c r="H94" s="74"/>
      <c r="I94" s="74"/>
      <c r="J94" s="74"/>
      <c r="K94" s="74"/>
      <c r="L94" s="74"/>
      <c r="M94" s="74"/>
      <c r="N94" s="74"/>
      <c r="O94" s="74"/>
      <c r="P94" s="74"/>
      <c r="Q94" s="74"/>
      <c r="R94" s="74"/>
      <c r="S94" s="74"/>
    </row>
    <row r="95" spans="1:19">
      <c r="A95" s="74"/>
      <c r="B95" s="74"/>
      <c r="C95" s="74"/>
      <c r="D95" s="74"/>
      <c r="E95" s="74"/>
      <c r="F95" s="74"/>
      <c r="G95" s="74"/>
      <c r="H95" s="74"/>
      <c r="I95" s="74"/>
      <c r="J95" s="74"/>
      <c r="K95" s="74"/>
      <c r="L95" s="74"/>
      <c r="M95" s="74"/>
      <c r="N95" s="74"/>
      <c r="O95" s="74"/>
      <c r="P95" s="74"/>
      <c r="Q95" s="74"/>
      <c r="R95" s="74"/>
      <c r="S95" s="74"/>
    </row>
    <row r="96" spans="1:19">
      <c r="A96" s="74"/>
      <c r="B96" s="74"/>
      <c r="C96" s="74"/>
      <c r="D96" s="74"/>
      <c r="E96" s="74"/>
      <c r="F96" s="74"/>
      <c r="G96" s="74"/>
      <c r="H96" s="74"/>
      <c r="I96" s="74"/>
      <c r="J96" s="74"/>
      <c r="K96" s="74"/>
      <c r="L96" s="74"/>
      <c r="M96" s="74"/>
      <c r="N96" s="74"/>
      <c r="O96" s="74"/>
      <c r="P96" s="74"/>
      <c r="Q96" s="74"/>
      <c r="R96" s="74"/>
      <c r="S96" s="74"/>
    </row>
    <row r="97" spans="1:19">
      <c r="A97" s="74"/>
      <c r="B97" s="74"/>
      <c r="C97" s="74"/>
      <c r="D97" s="74"/>
      <c r="E97" s="74"/>
      <c r="F97" s="74"/>
      <c r="G97" s="74"/>
      <c r="H97" s="74"/>
      <c r="I97" s="74"/>
      <c r="J97" s="74"/>
      <c r="K97" s="74"/>
      <c r="L97" s="74"/>
      <c r="M97" s="74"/>
      <c r="N97" s="74"/>
      <c r="O97" s="74"/>
      <c r="P97" s="74"/>
      <c r="Q97" s="74"/>
      <c r="R97" s="74"/>
      <c r="S97" s="74"/>
    </row>
    <row r="98" spans="1:19">
      <c r="A98" s="74"/>
      <c r="B98" s="74"/>
      <c r="C98" s="74"/>
      <c r="D98" s="74"/>
      <c r="E98" s="74"/>
      <c r="F98" s="74"/>
      <c r="G98" s="74"/>
      <c r="H98" s="74"/>
      <c r="I98" s="74"/>
      <c r="J98" s="74"/>
      <c r="K98" s="74"/>
      <c r="L98" s="74"/>
      <c r="M98" s="74"/>
      <c r="N98" s="74"/>
      <c r="O98" s="74"/>
      <c r="P98" s="74"/>
      <c r="Q98" s="74"/>
      <c r="R98" s="74"/>
      <c r="S98" s="74"/>
    </row>
    <row r="99" spans="1:19">
      <c r="A99" s="74"/>
      <c r="B99" s="74"/>
      <c r="C99" s="74"/>
      <c r="D99" s="74"/>
      <c r="E99" s="74"/>
      <c r="F99" s="74"/>
      <c r="G99" s="74"/>
      <c r="H99" s="74"/>
      <c r="I99" s="74"/>
      <c r="J99" s="74"/>
      <c r="K99" s="74"/>
      <c r="L99" s="74"/>
      <c r="M99" s="74"/>
      <c r="N99" s="74"/>
      <c r="O99" s="74"/>
      <c r="P99" s="74"/>
      <c r="Q99" s="74"/>
      <c r="R99" s="74"/>
      <c r="S99" s="74"/>
    </row>
    <row r="100" spans="1:19">
      <c r="A100" s="74"/>
      <c r="B100" s="74"/>
      <c r="C100" s="74"/>
      <c r="D100" s="74"/>
      <c r="E100" s="74"/>
      <c r="F100" s="74"/>
      <c r="G100" s="74"/>
      <c r="H100" s="74"/>
      <c r="I100" s="74"/>
      <c r="J100" s="74"/>
      <c r="K100" s="74"/>
      <c r="L100" s="74"/>
      <c r="M100" s="74"/>
      <c r="N100" s="74"/>
      <c r="O100" s="74"/>
      <c r="P100" s="74"/>
      <c r="Q100" s="74"/>
      <c r="R100" s="74"/>
      <c r="S100" s="74"/>
    </row>
    <row r="101" spans="1:19">
      <c r="A101" s="74"/>
      <c r="B101" s="74"/>
      <c r="C101" s="74"/>
      <c r="D101" s="74"/>
      <c r="E101" s="74"/>
      <c r="F101" s="74"/>
      <c r="G101" s="74"/>
      <c r="H101" s="74"/>
      <c r="I101" s="74"/>
      <c r="J101" s="74"/>
      <c r="K101" s="74"/>
      <c r="L101" s="74"/>
      <c r="M101" s="74"/>
      <c r="N101" s="74"/>
      <c r="O101" s="74"/>
      <c r="P101" s="74"/>
      <c r="Q101" s="74"/>
      <c r="R101" s="74"/>
      <c r="S101" s="74"/>
    </row>
    <row r="102" spans="1:19">
      <c r="A102" s="74"/>
      <c r="B102" s="74"/>
      <c r="C102" s="74"/>
      <c r="D102" s="74"/>
      <c r="E102" s="74"/>
      <c r="F102" s="74"/>
      <c r="G102" s="74"/>
      <c r="H102" s="74"/>
      <c r="I102" s="74"/>
      <c r="J102" s="74"/>
      <c r="K102" s="74"/>
      <c r="L102" s="74"/>
      <c r="M102" s="74"/>
      <c r="N102" s="74"/>
      <c r="O102" s="74"/>
      <c r="P102" s="74"/>
      <c r="Q102" s="74"/>
      <c r="R102" s="74"/>
      <c r="S102" s="74"/>
    </row>
    <row r="103" spans="1:19">
      <c r="A103" s="74"/>
      <c r="B103" s="74"/>
      <c r="C103" s="74"/>
      <c r="D103" s="74"/>
      <c r="E103" s="74"/>
      <c r="F103" s="74"/>
      <c r="G103" s="74"/>
      <c r="H103" s="74"/>
      <c r="I103" s="74"/>
      <c r="J103" s="74"/>
      <c r="K103" s="74"/>
      <c r="L103" s="74"/>
      <c r="M103" s="74"/>
      <c r="N103" s="74"/>
      <c r="O103" s="74"/>
      <c r="P103" s="74"/>
      <c r="Q103" s="74"/>
      <c r="R103" s="74"/>
      <c r="S103" s="74"/>
    </row>
    <row r="104" spans="1:19">
      <c r="A104" s="74"/>
      <c r="B104" s="74"/>
      <c r="C104" s="74"/>
      <c r="D104" s="74"/>
      <c r="E104" s="74"/>
      <c r="F104" s="74"/>
      <c r="G104" s="74"/>
      <c r="H104" s="74"/>
      <c r="I104" s="74"/>
      <c r="J104" s="74"/>
      <c r="K104" s="74"/>
      <c r="L104" s="74"/>
      <c r="M104" s="74"/>
      <c r="N104" s="74"/>
      <c r="O104" s="74"/>
      <c r="P104" s="74"/>
      <c r="Q104" s="74"/>
      <c r="R104" s="74"/>
      <c r="S104" s="74"/>
    </row>
    <row r="105" spans="1:19">
      <c r="A105" s="74"/>
      <c r="B105" s="74"/>
      <c r="C105" s="74"/>
      <c r="D105" s="74"/>
      <c r="E105" s="74"/>
      <c r="F105" s="74"/>
      <c r="G105" s="74"/>
      <c r="H105" s="74"/>
      <c r="I105" s="74"/>
      <c r="J105" s="74"/>
      <c r="K105" s="74"/>
      <c r="L105" s="74"/>
      <c r="M105" s="74"/>
      <c r="N105" s="74"/>
      <c r="O105" s="74"/>
      <c r="P105" s="74"/>
      <c r="Q105" s="74"/>
      <c r="R105" s="74"/>
      <c r="S105" s="74"/>
    </row>
    <row r="106" spans="1:19">
      <c r="A106" s="74"/>
      <c r="B106" s="74"/>
      <c r="C106" s="74"/>
      <c r="D106" s="74"/>
      <c r="E106" s="74"/>
      <c r="F106" s="74"/>
      <c r="G106" s="74"/>
      <c r="H106" s="74"/>
      <c r="I106" s="74"/>
      <c r="J106" s="74"/>
      <c r="K106" s="74"/>
      <c r="L106" s="74"/>
      <c r="M106" s="74"/>
      <c r="N106" s="74"/>
      <c r="O106" s="74"/>
      <c r="P106" s="74"/>
      <c r="Q106" s="74"/>
      <c r="R106" s="74"/>
      <c r="S106" s="74"/>
    </row>
    <row r="107" spans="1:19">
      <c r="A107" s="74"/>
      <c r="B107" s="74"/>
      <c r="C107" s="74"/>
      <c r="D107" s="74"/>
      <c r="E107" s="74"/>
      <c r="F107" s="74"/>
      <c r="G107" s="74"/>
      <c r="H107" s="74"/>
      <c r="I107" s="74"/>
      <c r="J107" s="74"/>
      <c r="K107" s="74"/>
      <c r="L107" s="74"/>
      <c r="M107" s="74"/>
      <c r="N107" s="74"/>
      <c r="O107" s="74"/>
      <c r="P107" s="74"/>
      <c r="Q107" s="74"/>
      <c r="R107" s="74"/>
      <c r="S107" s="74"/>
    </row>
    <row r="108" spans="1:19">
      <c r="A108" s="74"/>
      <c r="B108" s="74"/>
      <c r="C108" s="74"/>
      <c r="D108" s="74"/>
      <c r="E108" s="74"/>
      <c r="F108" s="74"/>
      <c r="G108" s="74"/>
      <c r="H108" s="74"/>
      <c r="I108" s="74"/>
      <c r="J108" s="74"/>
      <c r="K108" s="74"/>
      <c r="L108" s="74"/>
      <c r="M108" s="74"/>
      <c r="N108" s="74"/>
      <c r="O108" s="74"/>
      <c r="P108" s="74"/>
      <c r="Q108" s="74"/>
      <c r="R108" s="74"/>
      <c r="S108" s="74"/>
    </row>
    <row r="109" spans="1:19">
      <c r="A109" s="74"/>
      <c r="B109" s="74"/>
      <c r="C109" s="74"/>
      <c r="D109" s="74"/>
      <c r="E109" s="74"/>
      <c r="F109" s="74"/>
      <c r="G109" s="74"/>
      <c r="H109" s="74"/>
      <c r="I109" s="74"/>
      <c r="J109" s="74"/>
      <c r="K109" s="74"/>
      <c r="L109" s="74"/>
      <c r="M109" s="74"/>
      <c r="N109" s="74"/>
      <c r="O109" s="74"/>
      <c r="P109" s="74"/>
      <c r="Q109" s="74"/>
      <c r="R109" s="74"/>
      <c r="S109" s="74"/>
    </row>
    <row r="110" spans="1:19">
      <c r="A110" s="74"/>
      <c r="B110" s="74"/>
      <c r="C110" s="74"/>
      <c r="D110" s="74"/>
      <c r="E110" s="74"/>
      <c r="F110" s="74"/>
      <c r="G110" s="74"/>
      <c r="H110" s="74"/>
      <c r="I110" s="74"/>
      <c r="J110" s="74"/>
      <c r="K110" s="74"/>
      <c r="L110" s="74"/>
      <c r="M110" s="74"/>
      <c r="N110" s="74"/>
      <c r="O110" s="74"/>
      <c r="P110" s="74"/>
      <c r="Q110" s="74"/>
      <c r="R110" s="74"/>
      <c r="S110" s="74"/>
    </row>
    <row r="111" spans="1:19">
      <c r="A111" s="74"/>
      <c r="B111" s="74"/>
      <c r="C111" s="74"/>
      <c r="D111" s="74"/>
      <c r="E111" s="74"/>
      <c r="F111" s="74"/>
      <c r="G111" s="74"/>
      <c r="H111" s="74"/>
      <c r="I111" s="74"/>
      <c r="J111" s="74"/>
      <c r="K111" s="74"/>
      <c r="L111" s="74"/>
      <c r="M111" s="74"/>
      <c r="N111" s="74"/>
      <c r="O111" s="74"/>
      <c r="P111" s="74"/>
      <c r="Q111" s="74"/>
      <c r="R111" s="74"/>
      <c r="S111" s="74"/>
    </row>
    <row r="112" spans="1:19">
      <c r="A112" s="74"/>
      <c r="B112" s="74"/>
      <c r="C112" s="74"/>
      <c r="D112" s="74"/>
      <c r="E112" s="74"/>
      <c r="F112" s="74"/>
      <c r="G112" s="74"/>
      <c r="H112" s="74"/>
      <c r="I112" s="74"/>
      <c r="J112" s="74"/>
      <c r="K112" s="74"/>
      <c r="L112" s="74"/>
      <c r="M112" s="74"/>
      <c r="N112" s="74"/>
      <c r="O112" s="74"/>
      <c r="P112" s="74"/>
      <c r="Q112" s="74"/>
      <c r="R112" s="74"/>
      <c r="S112" s="74"/>
    </row>
    <row r="113" spans="1:19">
      <c r="A113" s="74"/>
      <c r="B113" s="74"/>
      <c r="C113" s="74"/>
      <c r="D113" s="74"/>
      <c r="E113" s="74"/>
      <c r="F113" s="74"/>
      <c r="G113" s="74"/>
      <c r="H113" s="74"/>
      <c r="I113" s="74"/>
      <c r="J113" s="74"/>
      <c r="K113" s="74"/>
      <c r="L113" s="74"/>
      <c r="M113" s="74"/>
      <c r="N113" s="74"/>
      <c r="O113" s="74"/>
      <c r="P113" s="74"/>
      <c r="Q113" s="74"/>
      <c r="R113" s="74"/>
      <c r="S113" s="74"/>
    </row>
    <row r="114" spans="1:19">
      <c r="A114" s="74"/>
      <c r="B114" s="74"/>
      <c r="C114" s="74"/>
      <c r="D114" s="74"/>
      <c r="E114" s="74"/>
      <c r="F114" s="74"/>
      <c r="G114" s="74"/>
      <c r="H114" s="74"/>
      <c r="I114" s="74"/>
      <c r="J114" s="74"/>
      <c r="K114" s="74"/>
      <c r="L114" s="74"/>
      <c r="M114" s="74"/>
      <c r="N114" s="74"/>
      <c r="O114" s="74"/>
      <c r="P114" s="74"/>
      <c r="Q114" s="74"/>
      <c r="R114" s="74"/>
      <c r="S114" s="74"/>
    </row>
    <row r="115" spans="1:19">
      <c r="A115" s="74"/>
      <c r="B115" s="74"/>
      <c r="C115" s="74"/>
      <c r="D115" s="74"/>
      <c r="E115" s="74"/>
      <c r="F115" s="74"/>
      <c r="G115" s="74"/>
      <c r="H115" s="74"/>
      <c r="I115" s="74"/>
      <c r="J115" s="74"/>
      <c r="K115" s="74"/>
      <c r="L115" s="74"/>
      <c r="M115" s="74"/>
      <c r="N115" s="74"/>
      <c r="O115" s="74"/>
      <c r="P115" s="74"/>
      <c r="Q115" s="74"/>
      <c r="R115" s="74"/>
      <c r="S115" s="74"/>
    </row>
    <row r="116" spans="1:19">
      <c r="A116" s="74"/>
      <c r="B116" s="74"/>
      <c r="C116" s="74"/>
      <c r="D116" s="74"/>
      <c r="E116" s="74"/>
      <c r="F116" s="74"/>
      <c r="G116" s="74"/>
      <c r="H116" s="74"/>
      <c r="I116" s="74"/>
      <c r="J116" s="74"/>
      <c r="K116" s="74"/>
      <c r="L116" s="74"/>
      <c r="M116" s="74"/>
      <c r="N116" s="74"/>
      <c r="O116" s="74"/>
      <c r="P116" s="74"/>
      <c r="Q116" s="74"/>
      <c r="R116" s="74"/>
      <c r="S116" s="74"/>
    </row>
    <row r="117" spans="1:19">
      <c r="A117" s="74"/>
      <c r="B117" s="74"/>
      <c r="C117" s="74"/>
      <c r="D117" s="74"/>
      <c r="E117" s="74"/>
      <c r="F117" s="74"/>
      <c r="G117" s="74"/>
      <c r="H117" s="74"/>
      <c r="I117" s="74"/>
      <c r="J117" s="74"/>
      <c r="K117" s="74"/>
      <c r="L117" s="74"/>
      <c r="M117" s="74"/>
      <c r="N117" s="74"/>
      <c r="O117" s="74"/>
      <c r="P117" s="74"/>
      <c r="Q117" s="74"/>
      <c r="R117" s="74"/>
      <c r="S117" s="74"/>
    </row>
    <row r="118" spans="1:19">
      <c r="A118" s="74"/>
      <c r="B118" s="74"/>
      <c r="C118" s="74"/>
      <c r="D118" s="74"/>
      <c r="E118" s="74"/>
      <c r="F118" s="74"/>
      <c r="G118" s="74"/>
      <c r="H118" s="74"/>
      <c r="I118" s="74"/>
      <c r="J118" s="74"/>
      <c r="K118" s="74"/>
      <c r="L118" s="74"/>
      <c r="M118" s="74"/>
      <c r="N118" s="74"/>
      <c r="O118" s="74"/>
      <c r="P118" s="74"/>
      <c r="Q118" s="74"/>
      <c r="R118" s="74"/>
      <c r="S118" s="74"/>
    </row>
    <row r="119" spans="1:19">
      <c r="A119" s="74"/>
      <c r="B119" s="98"/>
      <c r="C119" s="74"/>
      <c r="D119" s="74"/>
      <c r="E119" s="74"/>
      <c r="F119" s="74"/>
      <c r="G119" s="74"/>
      <c r="H119" s="74"/>
      <c r="I119" s="74"/>
      <c r="J119" s="74"/>
      <c r="K119" s="74"/>
      <c r="L119" s="74"/>
      <c r="M119" s="74"/>
      <c r="N119" s="74"/>
      <c r="O119" s="74"/>
      <c r="P119" s="74"/>
      <c r="Q119" s="74"/>
      <c r="R119" s="74"/>
      <c r="S119" s="74"/>
    </row>
    <row r="120" spans="1:19">
      <c r="A120" s="74"/>
      <c r="B120" s="98"/>
      <c r="C120" s="74"/>
      <c r="D120" s="74"/>
      <c r="E120" s="74"/>
      <c r="F120" s="74"/>
      <c r="G120" s="74"/>
      <c r="H120" s="74"/>
      <c r="I120" s="74"/>
      <c r="J120" s="74"/>
      <c r="K120" s="74"/>
      <c r="L120" s="74"/>
      <c r="M120" s="74"/>
      <c r="N120" s="74"/>
      <c r="O120" s="74"/>
      <c r="P120" s="74"/>
      <c r="Q120" s="74"/>
      <c r="R120" s="74"/>
      <c r="S120" s="74"/>
    </row>
    <row r="121" spans="1:19">
      <c r="A121" s="74"/>
      <c r="B121" s="98"/>
      <c r="C121" s="74"/>
      <c r="D121" s="74"/>
      <c r="E121" s="74"/>
      <c r="F121" s="74"/>
      <c r="G121" s="74"/>
      <c r="H121" s="74"/>
      <c r="I121" s="74"/>
      <c r="J121" s="74"/>
      <c r="K121" s="74"/>
      <c r="L121" s="74"/>
      <c r="M121" s="74"/>
      <c r="N121" s="74"/>
      <c r="O121" s="74"/>
      <c r="P121" s="74"/>
      <c r="Q121" s="74"/>
      <c r="R121" s="74"/>
      <c r="S121" s="74"/>
    </row>
    <row r="122" spans="1:19">
      <c r="A122" s="74"/>
      <c r="B122" s="74"/>
      <c r="C122" s="74"/>
      <c r="D122" s="74"/>
      <c r="E122" s="74"/>
      <c r="F122" s="74"/>
      <c r="G122" s="74"/>
      <c r="H122" s="74"/>
      <c r="I122" s="74"/>
      <c r="J122" s="74"/>
      <c r="K122" s="74"/>
      <c r="L122" s="74"/>
      <c r="M122" s="74"/>
      <c r="N122" s="74"/>
      <c r="O122" s="74"/>
      <c r="P122" s="74"/>
      <c r="Q122" s="74"/>
      <c r="R122" s="74"/>
      <c r="S122" s="74"/>
    </row>
    <row r="123" spans="1:19">
      <c r="A123" s="74"/>
      <c r="B123" s="74"/>
      <c r="C123" s="74"/>
      <c r="D123" s="74"/>
      <c r="E123" s="74"/>
      <c r="F123" s="74"/>
      <c r="G123" s="74"/>
      <c r="H123" s="74"/>
      <c r="I123" s="74"/>
      <c r="J123" s="74"/>
      <c r="K123" s="74"/>
      <c r="L123" s="74"/>
      <c r="M123" s="74"/>
      <c r="N123" s="74"/>
      <c r="O123" s="74"/>
      <c r="P123" s="74"/>
      <c r="Q123" s="74"/>
      <c r="R123" s="74"/>
      <c r="S123" s="74"/>
    </row>
    <row r="124" spans="1:19">
      <c r="A124" s="74"/>
      <c r="B124" s="74"/>
      <c r="C124" s="74"/>
      <c r="D124" s="74"/>
      <c r="E124" s="74"/>
      <c r="F124" s="74"/>
      <c r="G124" s="74"/>
      <c r="H124" s="74"/>
      <c r="I124" s="74"/>
      <c r="J124" s="74"/>
      <c r="K124" s="74"/>
      <c r="L124" s="74"/>
      <c r="M124" s="74"/>
      <c r="N124" s="74"/>
      <c r="O124" s="74"/>
      <c r="P124" s="74"/>
      <c r="Q124" s="74"/>
      <c r="R124" s="74"/>
      <c r="S124" s="74"/>
    </row>
    <row r="125" spans="1:19">
      <c r="A125" s="130"/>
      <c r="B125" s="74"/>
      <c r="C125" s="74"/>
      <c r="D125" s="74"/>
      <c r="E125" s="74"/>
      <c r="F125" s="74"/>
      <c r="G125" s="74"/>
      <c r="H125" s="74"/>
      <c r="I125" s="74"/>
      <c r="J125" s="74"/>
      <c r="K125" s="74"/>
      <c r="L125" s="74"/>
      <c r="M125" s="74"/>
      <c r="N125" s="74"/>
      <c r="O125" s="74"/>
      <c r="P125" s="74"/>
      <c r="Q125" s="74"/>
      <c r="R125" s="74"/>
      <c r="S125" s="74"/>
    </row>
    <row r="126" spans="1:19">
      <c r="Q126" s="74"/>
      <c r="R126" s="74"/>
      <c r="S126" s="74"/>
    </row>
    <row r="127" spans="1:19">
      <c r="A127" s="74"/>
      <c r="B127" s="74"/>
      <c r="C127" s="74"/>
      <c r="D127" s="74"/>
      <c r="E127" s="74"/>
      <c r="F127" s="74"/>
      <c r="G127" s="74"/>
      <c r="H127" s="74"/>
      <c r="I127" s="74"/>
      <c r="J127" s="74"/>
      <c r="K127" s="74"/>
      <c r="L127" s="74"/>
      <c r="M127" s="74"/>
      <c r="N127" s="74"/>
      <c r="O127" s="74"/>
      <c r="P127" s="74"/>
      <c r="Q127" s="74"/>
      <c r="R127" s="74"/>
      <c r="S127" s="74"/>
    </row>
    <row r="128" spans="1:19">
      <c r="A128" s="74"/>
      <c r="B128" s="74"/>
      <c r="C128" s="74"/>
      <c r="D128" s="74"/>
      <c r="E128" s="74"/>
      <c r="F128" s="74"/>
      <c r="G128" s="74"/>
      <c r="H128" s="74"/>
      <c r="I128" s="74"/>
      <c r="J128" s="74"/>
      <c r="K128" s="74"/>
      <c r="L128" s="74"/>
      <c r="M128" s="74"/>
      <c r="N128" s="74"/>
      <c r="O128" s="74"/>
      <c r="P128" s="74"/>
      <c r="Q128" s="74"/>
      <c r="R128" s="74"/>
      <c r="S128" s="74"/>
    </row>
    <row r="129" spans="1:19">
      <c r="A129" s="74"/>
      <c r="B129" s="74"/>
      <c r="C129" s="74"/>
      <c r="D129" s="74"/>
      <c r="E129" s="74"/>
      <c r="F129" s="74"/>
      <c r="G129" s="74"/>
      <c r="H129" s="74"/>
      <c r="I129" s="74"/>
      <c r="J129" s="74"/>
      <c r="K129" s="74"/>
      <c r="L129" s="74"/>
      <c r="M129" s="74"/>
      <c r="N129" s="74"/>
      <c r="O129" s="74"/>
      <c r="P129" s="74"/>
      <c r="Q129" s="74"/>
      <c r="R129" s="74"/>
      <c r="S129" s="74"/>
    </row>
    <row r="130" spans="1:19">
      <c r="A130" s="74"/>
      <c r="B130" s="74"/>
      <c r="C130" s="74"/>
      <c r="D130" s="74"/>
      <c r="E130" s="74"/>
      <c r="F130" s="74"/>
      <c r="G130" s="74"/>
      <c r="H130" s="74"/>
      <c r="I130" s="74"/>
      <c r="J130" s="74"/>
      <c r="K130" s="74"/>
      <c r="L130" s="74"/>
      <c r="M130" s="74"/>
      <c r="N130" s="74"/>
      <c r="O130" s="74"/>
      <c r="P130" s="74"/>
      <c r="Q130" s="74"/>
      <c r="R130" s="74"/>
      <c r="S130" s="74"/>
    </row>
    <row r="131" spans="1:19">
      <c r="A131" s="74"/>
      <c r="B131" s="74"/>
      <c r="C131" s="74"/>
      <c r="D131" s="74"/>
      <c r="E131" s="74"/>
      <c r="F131" s="74"/>
      <c r="G131" s="74"/>
      <c r="H131" s="74"/>
      <c r="I131" s="74"/>
      <c r="J131" s="74"/>
      <c r="K131" s="74"/>
      <c r="L131" s="74"/>
      <c r="M131" s="74"/>
      <c r="N131" s="74"/>
      <c r="O131" s="74"/>
      <c r="P131" s="74"/>
      <c r="Q131" s="74"/>
      <c r="R131" s="74"/>
      <c r="S131" s="74"/>
    </row>
    <row r="132" spans="1:19">
      <c r="A132" s="74"/>
      <c r="B132" s="74"/>
      <c r="C132" s="74"/>
      <c r="D132" s="74"/>
      <c r="E132" s="74"/>
      <c r="F132" s="74"/>
      <c r="G132" s="74"/>
      <c r="H132" s="74"/>
      <c r="I132" s="74"/>
      <c r="J132" s="74"/>
      <c r="K132" s="74"/>
      <c r="L132" s="74"/>
      <c r="M132" s="74"/>
      <c r="N132" s="74"/>
      <c r="O132" s="74"/>
      <c r="P132" s="74"/>
      <c r="Q132" s="74"/>
      <c r="R132" s="74"/>
      <c r="S132" s="74"/>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AC451-AF10-4C98-A7D6-33A1625FBA90}">
  <dimension ref="A1:AI416"/>
  <sheetViews>
    <sheetView tabSelected="1" topLeftCell="J1" zoomScaleNormal="100" workbookViewId="0">
      <selection activeCell="S92" sqref="S92"/>
    </sheetView>
  </sheetViews>
  <sheetFormatPr defaultColWidth="15.7109375" defaultRowHeight="15"/>
  <cols>
    <col min="1" max="1" width="25.85546875" customWidth="1"/>
    <col min="6" max="6" width="15.42578125" customWidth="1"/>
    <col min="8" max="8" width="17.42578125" customWidth="1"/>
    <col min="9" max="9" width="20.140625" customWidth="1"/>
    <col min="10" max="10" width="19.7109375" customWidth="1"/>
    <col min="11" max="11" width="19.42578125" customWidth="1"/>
    <col min="12" max="12" width="12.42578125" customWidth="1"/>
    <col min="14" max="14" width="16.140625" customWidth="1"/>
    <col min="15" max="15" width="17.28515625" customWidth="1"/>
    <col min="16" max="16" width="18.42578125" customWidth="1"/>
    <col min="17" max="17" width="31.42578125" customWidth="1"/>
    <col min="18" max="18" width="17.42578125" customWidth="1"/>
    <col min="19" max="19" width="16.28515625" customWidth="1"/>
    <col min="20" max="20" width="11.140625" customWidth="1"/>
    <col min="21" max="21" width="16.140625" customWidth="1"/>
    <col min="22" max="22" width="15.140625" customWidth="1"/>
    <col min="23" max="23" width="89.85546875" customWidth="1"/>
    <col min="24" max="24" width="33" customWidth="1"/>
    <col min="25" max="25" width="14.7109375" customWidth="1"/>
    <col min="26" max="26" width="84.85546875" customWidth="1"/>
    <col min="27" max="27" width="17.85546875" customWidth="1"/>
    <col min="28" max="28" width="21.85546875" customWidth="1"/>
    <col min="29" max="29" width="88.140625" customWidth="1"/>
  </cols>
  <sheetData>
    <row r="1" spans="1:23" ht="18.75">
      <c r="A1" s="52" t="s">
        <v>111</v>
      </c>
    </row>
    <row r="2" spans="1:23" s="77" customFormat="1">
      <c r="A2" s="77" t="s">
        <v>112</v>
      </c>
    </row>
    <row r="3" spans="1:23">
      <c r="A3" s="1" t="s">
        <v>17</v>
      </c>
    </row>
    <row r="4" spans="1:23">
      <c r="A4" s="33" t="s">
        <v>286</v>
      </c>
      <c r="B4" s="31"/>
      <c r="C4" s="31"/>
      <c r="D4" s="31"/>
      <c r="E4" s="31"/>
      <c r="F4" s="31"/>
      <c r="G4" s="31"/>
      <c r="H4" s="31"/>
      <c r="I4" s="31"/>
      <c r="J4" s="31"/>
      <c r="K4" s="31"/>
      <c r="L4" s="31"/>
      <c r="M4" s="31"/>
      <c r="N4" s="31"/>
      <c r="O4" s="32"/>
      <c r="T4" s="47"/>
      <c r="U4" s="28"/>
      <c r="V4" s="28"/>
      <c r="W4" s="1"/>
    </row>
    <row r="5" spans="1:23">
      <c r="A5" s="123" t="s">
        <v>0</v>
      </c>
      <c r="B5" s="124" t="s">
        <v>16</v>
      </c>
      <c r="C5" s="125" t="s">
        <v>178</v>
      </c>
      <c r="D5" s="125" t="s">
        <v>176</v>
      </c>
      <c r="E5" s="125" t="s">
        <v>177</v>
      </c>
      <c r="F5" s="126" t="s">
        <v>1</v>
      </c>
      <c r="G5" s="125" t="s">
        <v>4</v>
      </c>
      <c r="H5" s="105" t="s">
        <v>281</v>
      </c>
      <c r="I5" s="127" t="s">
        <v>1</v>
      </c>
      <c r="J5" s="105" t="s">
        <v>109</v>
      </c>
      <c r="K5" s="127" t="s">
        <v>110</v>
      </c>
      <c r="L5" s="105" t="s">
        <v>108</v>
      </c>
      <c r="M5" s="128" t="s">
        <v>189</v>
      </c>
      <c r="N5" s="105" t="s">
        <v>190</v>
      </c>
      <c r="O5" s="105" t="s">
        <v>223</v>
      </c>
      <c r="Q5" s="33" t="s">
        <v>290</v>
      </c>
      <c r="R5" s="31"/>
      <c r="S5" s="32"/>
    </row>
    <row r="6" spans="1:23">
      <c r="A6" s="12">
        <v>1</v>
      </c>
      <c r="B6" s="136" t="s">
        <v>220</v>
      </c>
      <c r="C6" s="176">
        <v>120</v>
      </c>
      <c r="D6" s="177">
        <v>100</v>
      </c>
      <c r="E6" s="180">
        <v>150</v>
      </c>
      <c r="F6" s="10" t="s">
        <v>2</v>
      </c>
      <c r="G6" s="20" t="s">
        <v>19</v>
      </c>
      <c r="H6" s="181">
        <v>6</v>
      </c>
      <c r="I6" s="39" t="s">
        <v>2</v>
      </c>
      <c r="J6" s="12">
        <f>ROUNDUP(B69,0)</f>
        <v>7500</v>
      </c>
      <c r="K6" s="39" t="s">
        <v>2</v>
      </c>
      <c r="L6" s="39">
        <f>ROUNDDOWN(B70,0)</f>
        <v>900000</v>
      </c>
      <c r="M6" s="11">
        <f>ROUNDDOWN(B71,0)</f>
        <v>750000</v>
      </c>
      <c r="N6" s="39">
        <f>ROUNDDOWN(B72,0)</f>
        <v>1125000</v>
      </c>
      <c r="O6" s="44" t="str">
        <f>"€" &amp; M6 &amp; " - €" &amp; N6</f>
        <v>€750000 - €1125000</v>
      </c>
      <c r="Q6" s="4" t="s">
        <v>48</v>
      </c>
      <c r="R6" s="44">
        <f>'Ambitie klimaatadaptatie'!F5</f>
        <v>90</v>
      </c>
      <c r="S6" s="6" t="s">
        <v>10</v>
      </c>
    </row>
    <row r="7" spans="1:23">
      <c r="A7" s="12">
        <v>2</v>
      </c>
      <c r="B7" s="136" t="s">
        <v>221</v>
      </c>
      <c r="C7" s="176">
        <v>230</v>
      </c>
      <c r="D7" s="177">
        <v>200</v>
      </c>
      <c r="E7" s="180">
        <v>240</v>
      </c>
      <c r="F7" s="10" t="s">
        <v>2</v>
      </c>
      <c r="G7" s="20" t="s">
        <v>19</v>
      </c>
      <c r="H7" s="181">
        <v>0</v>
      </c>
      <c r="I7" s="39" t="s">
        <v>2</v>
      </c>
      <c r="J7" s="12">
        <f>ROUNDUP(B91,0)</f>
        <v>2250</v>
      </c>
      <c r="K7" s="39" t="s">
        <v>2</v>
      </c>
      <c r="L7" s="39">
        <f>ROUNDDOWN(B92,0)</f>
        <v>517500</v>
      </c>
      <c r="M7" s="11">
        <f>ROUNDDOWN(B93,0)</f>
        <v>450000</v>
      </c>
      <c r="N7" s="39">
        <f>ROUNDDOWN(B94,0)</f>
        <v>540000</v>
      </c>
      <c r="O7" s="39" t="str">
        <f>"€" &amp; M7 &amp; " - €" &amp; N7</f>
        <v>€450000 - €540000</v>
      </c>
      <c r="Q7" s="12" t="s">
        <v>5</v>
      </c>
      <c r="R7" s="39">
        <f>(R6/1000)*R20</f>
        <v>225</v>
      </c>
      <c r="S7" s="11" t="s">
        <v>3</v>
      </c>
    </row>
    <row r="8" spans="1:23">
      <c r="A8" s="12">
        <v>3</v>
      </c>
      <c r="B8" s="136" t="s">
        <v>245</v>
      </c>
      <c r="C8" s="176">
        <v>100</v>
      </c>
      <c r="D8" s="177">
        <v>50</v>
      </c>
      <c r="E8" s="180">
        <v>150</v>
      </c>
      <c r="F8" s="10" t="s">
        <v>2</v>
      </c>
      <c r="G8" s="20" t="s">
        <v>19</v>
      </c>
      <c r="H8" s="181">
        <v>4.8</v>
      </c>
      <c r="I8" s="39" t="s">
        <v>2</v>
      </c>
      <c r="J8" s="12">
        <f>ROUNDUP(B118,0)</f>
        <v>2768</v>
      </c>
      <c r="K8" s="39" t="s">
        <v>2</v>
      </c>
      <c r="L8" s="39">
        <f>ROUNDDOWN(B119,0)</f>
        <v>276750</v>
      </c>
      <c r="M8" s="11">
        <f>ROUNDDOWN(B120,0)</f>
        <v>138375</v>
      </c>
      <c r="N8" s="39">
        <f>ROUNDDOWN(B121,0)</f>
        <v>415125</v>
      </c>
      <c r="O8" s="39" t="str">
        <f>"€" &amp; M8 &amp; " - €" &amp; N8</f>
        <v>€138375 - €415125</v>
      </c>
      <c r="Q8" s="12" t="s">
        <v>101</v>
      </c>
      <c r="R8" s="39">
        <f>(R6/1000)*R30</f>
        <v>243</v>
      </c>
      <c r="S8" s="11" t="s">
        <v>3</v>
      </c>
    </row>
    <row r="9" spans="1:23">
      <c r="A9" s="12">
        <v>4</v>
      </c>
      <c r="B9" s="136" t="s">
        <v>222</v>
      </c>
      <c r="C9" s="176">
        <v>350</v>
      </c>
      <c r="D9" s="177">
        <v>200</v>
      </c>
      <c r="E9" s="180">
        <v>500</v>
      </c>
      <c r="F9" s="10" t="s">
        <v>3</v>
      </c>
      <c r="G9" s="20" t="s">
        <v>19</v>
      </c>
      <c r="H9" s="181">
        <v>0</v>
      </c>
      <c r="I9" s="39" t="s">
        <v>70</v>
      </c>
      <c r="J9" s="12">
        <f>ROUNDUP(B142,0)</f>
        <v>750</v>
      </c>
      <c r="K9" s="39" t="s">
        <v>54</v>
      </c>
      <c r="L9" s="39">
        <f>ROUNDDOWN(B143,0)</f>
        <v>78750</v>
      </c>
      <c r="M9" s="11">
        <f>ROUNDDOWN(B144,0)</f>
        <v>45000</v>
      </c>
      <c r="N9" s="39">
        <f>ROUNDDOWN(B145,0)</f>
        <v>112500</v>
      </c>
      <c r="O9" s="39" t="str">
        <f t="shared" ref="O9:O17" si="0">"€"&amp;M9 &amp; " - €" &amp; N9</f>
        <v>€45000 - €112500</v>
      </c>
      <c r="Q9" s="12" t="s">
        <v>316</v>
      </c>
      <c r="R9" s="39">
        <f>(((R6-R37)/1000)*R32)+((R6/1000)*R33)</f>
        <v>221.4</v>
      </c>
      <c r="S9" s="11" t="s">
        <v>3</v>
      </c>
    </row>
    <row r="10" spans="1:23">
      <c r="A10" s="12">
        <v>5</v>
      </c>
      <c r="B10" s="136" t="s">
        <v>213</v>
      </c>
      <c r="C10" s="176">
        <v>475</v>
      </c>
      <c r="D10" s="177">
        <v>350</v>
      </c>
      <c r="E10" s="180">
        <v>600</v>
      </c>
      <c r="F10" s="10" t="s">
        <v>3</v>
      </c>
      <c r="G10" s="20" t="s">
        <v>179</v>
      </c>
      <c r="H10" s="181">
        <v>5.3</v>
      </c>
      <c r="I10" s="39" t="s">
        <v>2</v>
      </c>
      <c r="J10" s="12">
        <f>ROUNDUP(B180,0)</f>
        <v>292</v>
      </c>
      <c r="K10" s="39" t="s">
        <v>2</v>
      </c>
      <c r="L10" s="39">
        <f>ROUNDDOWN(B181,0)</f>
        <v>105165</v>
      </c>
      <c r="M10" s="11">
        <f>ROUNDDOWN(B182,0)</f>
        <v>77490</v>
      </c>
      <c r="N10" s="39">
        <f>ROUNDDOWN(B183,0)</f>
        <v>132840</v>
      </c>
      <c r="O10" s="39" t="str">
        <f t="shared" si="0"/>
        <v>€77490 - €132840</v>
      </c>
      <c r="Q10" s="34" t="s">
        <v>12</v>
      </c>
      <c r="R10" s="38">
        <f>SUM(R7:R8)</f>
        <v>468</v>
      </c>
      <c r="S10" s="15" t="s">
        <v>3</v>
      </c>
    </row>
    <row r="11" spans="1:23">
      <c r="A11" s="40">
        <v>6</v>
      </c>
      <c r="B11" s="137" t="s">
        <v>136</v>
      </c>
      <c r="C11" s="176">
        <v>75</v>
      </c>
      <c r="D11" s="177">
        <v>75</v>
      </c>
      <c r="E11" s="180">
        <v>75</v>
      </c>
      <c r="F11" s="28" t="s">
        <v>2</v>
      </c>
      <c r="G11" s="20" t="s">
        <v>179</v>
      </c>
      <c r="H11" s="181">
        <v>0.75</v>
      </c>
      <c r="I11" s="60" t="s">
        <v>2</v>
      </c>
      <c r="J11" s="40">
        <f>ROUNDUP(B213,0)</f>
        <v>856</v>
      </c>
      <c r="K11" s="60" t="s">
        <v>2</v>
      </c>
      <c r="L11" s="60">
        <f>ROUNDDOWN(B214,0)</f>
        <v>64155</v>
      </c>
      <c r="M11" s="58">
        <f>ROUNDDOWN(B215,0)</f>
        <v>64155</v>
      </c>
      <c r="N11" s="39">
        <f>ROUNDDOWN(B216,0)</f>
        <v>64155</v>
      </c>
      <c r="O11" s="39" t="str">
        <f t="shared" si="0"/>
        <v>€64155 - €64155</v>
      </c>
    </row>
    <row r="12" spans="1:23">
      <c r="A12" s="40">
        <v>7</v>
      </c>
      <c r="B12" s="137" t="s">
        <v>137</v>
      </c>
      <c r="C12" s="176">
        <v>185</v>
      </c>
      <c r="D12" s="177">
        <v>185</v>
      </c>
      <c r="E12" s="180">
        <v>185</v>
      </c>
      <c r="F12" s="28" t="s">
        <v>2</v>
      </c>
      <c r="G12" s="20" t="s">
        <v>179</v>
      </c>
      <c r="H12" s="181">
        <v>4</v>
      </c>
      <c r="I12" s="60" t="s">
        <v>50</v>
      </c>
      <c r="J12" s="40">
        <f>ROUNDUP(B246,0)</f>
        <v>1166</v>
      </c>
      <c r="K12" s="60" t="s">
        <v>2</v>
      </c>
      <c r="L12" s="60">
        <f>ROUNDDOWN(B247,0)</f>
        <v>215573</v>
      </c>
      <c r="M12" s="58">
        <f>ROUNDDOWN(B248,0)</f>
        <v>215573</v>
      </c>
      <c r="N12" s="39">
        <f>ROUNDDOWN(B249,0)</f>
        <v>215573</v>
      </c>
      <c r="O12" s="39" t="str">
        <f t="shared" si="0"/>
        <v>€215573 - €215573</v>
      </c>
    </row>
    <row r="13" spans="1:23">
      <c r="A13" s="40">
        <v>8</v>
      </c>
      <c r="B13" s="137" t="s">
        <v>216</v>
      </c>
      <c r="C13" s="176">
        <v>445</v>
      </c>
      <c r="D13" s="177">
        <v>140</v>
      </c>
      <c r="E13" s="180">
        <v>750</v>
      </c>
      <c r="F13" s="28" t="s">
        <v>3</v>
      </c>
      <c r="G13" s="20" t="s">
        <v>179</v>
      </c>
      <c r="H13" s="181">
        <v>7.1</v>
      </c>
      <c r="I13" s="60" t="s">
        <v>3</v>
      </c>
      <c r="J13" s="40">
        <f>ROUNDUP(B272,0)</f>
        <v>156</v>
      </c>
      <c r="K13" s="60" t="s">
        <v>2</v>
      </c>
      <c r="L13" s="60">
        <f>ROUNDDOWN(B273,0)</f>
        <v>98523</v>
      </c>
      <c r="M13" s="58">
        <f>ROUNDDOWN(B274,0)</f>
        <v>30996</v>
      </c>
      <c r="N13" s="39">
        <f>ROUNDDOWN(B275,0)</f>
        <v>166050</v>
      </c>
      <c r="O13" s="39" t="str">
        <f t="shared" si="0"/>
        <v>€30996 - €166050</v>
      </c>
      <c r="Q13" s="156" t="s">
        <v>287</v>
      </c>
      <c r="R13" s="31"/>
      <c r="S13" s="32"/>
    </row>
    <row r="14" spans="1:23">
      <c r="A14" s="40">
        <v>9</v>
      </c>
      <c r="B14" s="137" t="s">
        <v>214</v>
      </c>
      <c r="C14" s="176">
        <v>125</v>
      </c>
      <c r="D14" s="177">
        <v>100</v>
      </c>
      <c r="E14" s="180">
        <v>150</v>
      </c>
      <c r="F14" s="28" t="s">
        <v>70</v>
      </c>
      <c r="G14" s="20" t="s">
        <v>179</v>
      </c>
      <c r="H14" s="181">
        <v>0</v>
      </c>
      <c r="I14" s="60" t="s">
        <v>70</v>
      </c>
      <c r="J14" s="40">
        <f>ROUNDUP(B301,0)</f>
        <v>591</v>
      </c>
      <c r="K14" s="60" t="s">
        <v>54</v>
      </c>
      <c r="L14" s="60">
        <f>ROUNDDOWN(B302,0)</f>
        <v>73800</v>
      </c>
      <c r="M14" s="58">
        <f>ROUNDDOWN(B303,0)</f>
        <v>59040</v>
      </c>
      <c r="N14" s="39">
        <f>ROUNDDOWN(B304,0)</f>
        <v>88560</v>
      </c>
      <c r="O14" s="39" t="str">
        <f t="shared" si="0"/>
        <v>€59040 - €88560</v>
      </c>
      <c r="Q14" s="33" t="s">
        <v>288</v>
      </c>
      <c r="R14" s="31"/>
      <c r="S14" s="32"/>
      <c r="U14" s="48"/>
    </row>
    <row r="15" spans="1:23">
      <c r="A15" s="40">
        <v>10</v>
      </c>
      <c r="B15" s="137" t="s">
        <v>211</v>
      </c>
      <c r="C15" s="176">
        <v>1650</v>
      </c>
      <c r="D15" s="177">
        <v>300</v>
      </c>
      <c r="E15" s="180">
        <v>3000</v>
      </c>
      <c r="F15" s="28" t="s">
        <v>3</v>
      </c>
      <c r="G15" s="20" t="s">
        <v>179</v>
      </c>
      <c r="H15" s="181">
        <v>1.8</v>
      </c>
      <c r="I15" s="60" t="s">
        <v>3</v>
      </c>
      <c r="J15" s="40">
        <f>ROUNDUP(B329,0)</f>
        <v>554</v>
      </c>
      <c r="K15" s="60" t="s">
        <v>2</v>
      </c>
      <c r="L15" s="60">
        <f>ROUNDDOWN(B330,0)</f>
        <v>365310</v>
      </c>
      <c r="M15" s="58">
        <f>ROUNDDOWN(B331,0)</f>
        <v>66420</v>
      </c>
      <c r="N15" s="39">
        <f>ROUNDDOWN(B332,0)</f>
        <v>664200</v>
      </c>
      <c r="O15" s="39" t="str">
        <f t="shared" si="0"/>
        <v>€66420 - €664200</v>
      </c>
      <c r="Q15" s="153" t="s">
        <v>85</v>
      </c>
      <c r="R15" s="155">
        <f>'Invoer locatiegegevens'!B6</f>
        <v>1000</v>
      </c>
      <c r="S15" s="43" t="s">
        <v>2</v>
      </c>
      <c r="T15" s="29"/>
      <c r="U15" s="48"/>
    </row>
    <row r="16" spans="1:23">
      <c r="A16" s="12">
        <v>11</v>
      </c>
      <c r="B16" s="136" t="s">
        <v>215</v>
      </c>
      <c r="C16" s="176">
        <v>175</v>
      </c>
      <c r="D16" s="177">
        <v>175</v>
      </c>
      <c r="E16" s="180">
        <v>175</v>
      </c>
      <c r="F16" s="10" t="s">
        <v>50</v>
      </c>
      <c r="G16" s="20" t="s">
        <v>179</v>
      </c>
      <c r="H16" s="181">
        <v>7.1</v>
      </c>
      <c r="I16" s="39" t="s">
        <v>50</v>
      </c>
      <c r="J16" s="12">
        <f>ROUNDUP(B356,)</f>
        <v>564</v>
      </c>
      <c r="K16" s="39" t="s">
        <v>2</v>
      </c>
      <c r="L16" s="39">
        <f>ROUNDDOWN(B357,0)</f>
        <v>197326</v>
      </c>
      <c r="M16" s="11">
        <f>ROUNDDOWN(B358,0)</f>
        <v>197326</v>
      </c>
      <c r="N16" s="39">
        <f>ROUNDDOWN(B359,0)</f>
        <v>197326</v>
      </c>
      <c r="O16" s="39" t="str">
        <f t="shared" si="0"/>
        <v>€197326 - €197326</v>
      </c>
      <c r="Q16" s="154" t="s">
        <v>82</v>
      </c>
      <c r="R16" s="55">
        <f>'Invoer locatiegegevens'!B7</f>
        <v>600</v>
      </c>
      <c r="S16" s="46" t="s">
        <v>2</v>
      </c>
      <c r="T16" s="29"/>
    </row>
    <row r="17" spans="1:19">
      <c r="A17" s="41">
        <v>12</v>
      </c>
      <c r="B17" s="138" t="s">
        <v>212</v>
      </c>
      <c r="C17" s="178">
        <v>150</v>
      </c>
      <c r="D17" s="179">
        <v>100</v>
      </c>
      <c r="E17" s="129">
        <v>200</v>
      </c>
      <c r="F17" s="8" t="s">
        <v>50</v>
      </c>
      <c r="G17" s="122" t="s">
        <v>179</v>
      </c>
      <c r="H17" s="182">
        <v>1.1000000000000001</v>
      </c>
      <c r="I17" s="43" t="s">
        <v>50</v>
      </c>
      <c r="J17" s="57">
        <f>ROUNDUP(B382,0)</f>
        <v>709</v>
      </c>
      <c r="K17" s="43" t="s">
        <v>2</v>
      </c>
      <c r="L17" s="42">
        <f>ROUNDDOWN(B383,0)</f>
        <v>106272</v>
      </c>
      <c r="M17" s="9">
        <f>ROUNDDOWN(B384,0)</f>
        <v>70848</v>
      </c>
      <c r="N17" s="42">
        <f>ROUNDDOWN(B385,0)</f>
        <v>141696</v>
      </c>
      <c r="O17" s="42" t="str">
        <f t="shared" si="0"/>
        <v>€70848 - €141696</v>
      </c>
      <c r="Q17" s="154" t="s">
        <v>83</v>
      </c>
      <c r="R17" s="55">
        <f>'Invoer locatiegegevens'!B8</f>
        <v>500</v>
      </c>
      <c r="S17" s="46" t="s">
        <v>2</v>
      </c>
    </row>
    <row r="18" spans="1:19">
      <c r="Q18" s="154" t="s">
        <v>84</v>
      </c>
      <c r="R18" s="55">
        <f>'Invoer locatiegegevens'!B9</f>
        <v>400</v>
      </c>
      <c r="S18" s="46" t="s">
        <v>2</v>
      </c>
    </row>
    <row r="19" spans="1:19">
      <c r="A19" s="47"/>
      <c r="B19" s="28"/>
      <c r="C19" s="28"/>
      <c r="D19" s="28"/>
      <c r="E19" s="28"/>
      <c r="F19" s="28"/>
      <c r="G19" s="28"/>
      <c r="H19" s="28"/>
      <c r="I19" s="28"/>
      <c r="J19" s="28"/>
      <c r="K19" s="28"/>
      <c r="L19" s="28"/>
      <c r="M19" s="28"/>
      <c r="N19" s="28"/>
      <c r="Q19" s="154" t="s">
        <v>86</v>
      </c>
      <c r="R19" s="55">
        <f>'Invoer locatiegegevens'!B10</f>
        <v>0</v>
      </c>
      <c r="S19" s="46" t="s">
        <v>2</v>
      </c>
    </row>
    <row r="20" spans="1:19">
      <c r="Q20" s="154" t="s">
        <v>87</v>
      </c>
      <c r="R20" s="55">
        <f>SUM(R15:R19)</f>
        <v>2500</v>
      </c>
      <c r="S20" s="46" t="s">
        <v>2</v>
      </c>
    </row>
    <row r="21" spans="1:19">
      <c r="A21" s="33" t="s">
        <v>304</v>
      </c>
      <c r="B21" s="31"/>
      <c r="C21" s="32"/>
      <c r="Q21" s="154" t="s">
        <v>102</v>
      </c>
      <c r="R21" s="55">
        <f>'Invoer locatiegegevens'!D18</f>
        <v>90</v>
      </c>
      <c r="S21" s="46" t="s">
        <v>47</v>
      </c>
    </row>
    <row r="22" spans="1:19">
      <c r="A22" s="33" t="s">
        <v>305</v>
      </c>
      <c r="B22" s="30"/>
      <c r="C22" s="32"/>
      <c r="Q22" s="154" t="s">
        <v>103</v>
      </c>
      <c r="R22" s="38">
        <f>(R21/100)*R20</f>
        <v>2250</v>
      </c>
      <c r="S22" s="46" t="s">
        <v>2</v>
      </c>
    </row>
    <row r="23" spans="1:19">
      <c r="A23" s="44" t="s">
        <v>6</v>
      </c>
      <c r="B23" s="151">
        <v>100</v>
      </c>
      <c r="C23" s="44" t="s">
        <v>20</v>
      </c>
    </row>
    <row r="24" spans="1:19">
      <c r="A24" s="39" t="s">
        <v>49</v>
      </c>
      <c r="B24" s="129">
        <v>4</v>
      </c>
      <c r="C24" s="39" t="s">
        <v>11</v>
      </c>
      <c r="Q24" s="33" t="s">
        <v>289</v>
      </c>
      <c r="R24" s="31"/>
      <c r="S24" s="32"/>
    </row>
    <row r="25" spans="1:19">
      <c r="A25" s="39" t="s">
        <v>267</v>
      </c>
      <c r="B25" s="39">
        <f>IF(B24=Reken!B32,Reken!B33,IF(B24=Reken!C32,Reken!C33,IF(B24=Reken!D32,Reken!D33,IF(B24=Reken!E32,Reken!E33,IF(B24=Reken!F32,Reken!F33,IF(B24=Reken!G32,Reken!G33,IF(B24=Reken!H32,Reken!H33,IF(B24=Reken!I32,Reken!I33,IF(B24=Reken!J32,Reken!J33," ")))))))))</f>
        <v>78</v>
      </c>
      <c r="C25" s="39" t="s">
        <v>10</v>
      </c>
      <c r="Q25" s="153" t="s">
        <v>90</v>
      </c>
      <c r="R25" s="39">
        <f>'Invoer locatiegegevens'!B29</f>
        <v>0</v>
      </c>
      <c r="S25" s="42" t="s">
        <v>2</v>
      </c>
    </row>
    <row r="26" spans="1:19">
      <c r="A26" s="33" t="s">
        <v>306</v>
      </c>
      <c r="B26" s="31"/>
      <c r="C26" s="32"/>
      <c r="Q26" s="154" t="s">
        <v>91</v>
      </c>
      <c r="R26" s="44">
        <f>'Invoer locatiegegevens'!B30</f>
        <v>600</v>
      </c>
      <c r="S26" s="38" t="s">
        <v>2</v>
      </c>
    </row>
    <row r="27" spans="1:19">
      <c r="A27" s="39" t="s">
        <v>5</v>
      </c>
      <c r="B27" s="39">
        <f>(B25/1000)*R20</f>
        <v>195</v>
      </c>
      <c r="C27" s="39" t="s">
        <v>3</v>
      </c>
      <c r="Q27" s="154" t="s">
        <v>92</v>
      </c>
      <c r="R27" s="44">
        <f>'Invoer locatiegegevens'!B31</f>
        <v>1200</v>
      </c>
      <c r="S27" s="38" t="s">
        <v>2</v>
      </c>
    </row>
    <row r="28" spans="1:19">
      <c r="A28" s="39" t="s">
        <v>46</v>
      </c>
      <c r="B28" s="39">
        <f>(B25/1000)*R30</f>
        <v>210.6</v>
      </c>
      <c r="C28" s="39" t="s">
        <v>3</v>
      </c>
      <c r="Q28" s="154" t="s">
        <v>93</v>
      </c>
      <c r="R28" s="44">
        <f>'Invoer locatiegegevens'!B32</f>
        <v>900</v>
      </c>
      <c r="S28" s="38" t="s">
        <v>2</v>
      </c>
    </row>
    <row r="29" spans="1:19">
      <c r="A29" s="42" t="s">
        <v>12</v>
      </c>
      <c r="B29" s="42">
        <f>SUM(B27:B28)</f>
        <v>405.6</v>
      </c>
      <c r="C29" s="42" t="s">
        <v>3</v>
      </c>
      <c r="Q29" s="154" t="s">
        <v>94</v>
      </c>
      <c r="R29" s="44">
        <f>'Invoer locatiegegevens'!B33</f>
        <v>0</v>
      </c>
      <c r="S29" s="38" t="s">
        <v>2</v>
      </c>
    </row>
    <row r="30" spans="1:19">
      <c r="Q30" s="154" t="s">
        <v>87</v>
      </c>
      <c r="R30" s="38">
        <f>SUM(R25:R29)</f>
        <v>2700</v>
      </c>
      <c r="S30" s="38" t="s">
        <v>2</v>
      </c>
    </row>
    <row r="31" spans="1:19">
      <c r="A31" s="33" t="s">
        <v>307</v>
      </c>
      <c r="B31" s="31"/>
      <c r="C31" s="31"/>
      <c r="D31" s="31"/>
      <c r="E31" s="31"/>
      <c r="F31" s="31"/>
      <c r="G31" s="31"/>
      <c r="H31" s="31"/>
      <c r="I31" s="31"/>
      <c r="J31" s="32"/>
      <c r="Q31" s="154" t="s">
        <v>120</v>
      </c>
      <c r="R31" s="38">
        <f>'Invoer locatiegegevens'!D41</f>
        <v>20</v>
      </c>
      <c r="S31" s="38" t="s">
        <v>47</v>
      </c>
    </row>
    <row r="32" spans="1:19">
      <c r="A32" s="4" t="s">
        <v>14</v>
      </c>
      <c r="B32" s="5">
        <v>0</v>
      </c>
      <c r="C32" s="50">
        <f>0.16</f>
        <v>0.16</v>
      </c>
      <c r="D32" s="5">
        <v>0.25</v>
      </c>
      <c r="E32" s="5">
        <v>0.5</v>
      </c>
      <c r="F32" s="5">
        <v>1</v>
      </c>
      <c r="G32" s="5">
        <v>2</v>
      </c>
      <c r="H32" s="5">
        <v>4</v>
      </c>
      <c r="I32" s="5">
        <v>8</v>
      </c>
      <c r="J32" s="6">
        <v>12</v>
      </c>
      <c r="Q32" s="154" t="s">
        <v>261</v>
      </c>
      <c r="R32" s="38">
        <f>R30*(1-(R31/100))</f>
        <v>2160</v>
      </c>
      <c r="S32" s="46" t="s">
        <v>2</v>
      </c>
    </row>
    <row r="33" spans="1:35">
      <c r="A33" s="12" t="s">
        <v>15</v>
      </c>
      <c r="B33" s="10">
        <f>IF($B$23=1,VLOOKUP(B32,Reken!$B$41:$O$49,2,FALSE),IF($B$23=2,VLOOKUP(B32,Reken!$B$41:$O$49,3,FALSE),IF($B$23=5,VLOOKUP(B32,Reken!$B$41:$O$49,4,FALSE),IF($B$23=10,VLOOKUP(B32,Reken!$B$41:$O$49,5,FALSE),IF($B$23=20,VLOOKUP(B32,Reken!$B$41:$O$49,6,FALSE),IF($B$23=25,VLOOKUP(B32,Reken!$B$41:$O$49,7,FALSE),IF($B$23=50,VLOOKUP(B32,Reken!$B$41:$O$49,8,FALSE),IF($B$23=100,VLOOKUP(B32,Reken!$B$41:$O$49,9,FALSE),IF($B$23=200,VLOOKUP(B32,Reken!$B$41:$O$49,10,FALSE),IF($B$23=250,VLOOKUP(B32,Reken!$B$41:$O$49,11,FALSE),IF($B$23=500,VLOOKUP(B32,Reken!$B$41:$O$49,12,FALSE),IF($B$23=1000,VLOOKUP(B32,Reken!$B$41:$O$49,13,FALSE),IF($B$23=10000,VLOOKUP(B32,Reken!$B$41:$O$49,14,FALSE),IF($B$23=0,0,0))))))))))))))</f>
        <v>0</v>
      </c>
      <c r="C33" s="10">
        <f>IF($B$23=1,VLOOKUP(C32,Reken!$B$41:$O$49,2,FALSE),IF($B$23=2,VLOOKUP(C32,Reken!$B$41:$O$49,3,FALSE),IF($B$23=5,VLOOKUP(C32,Reken!$B$41:$O$49,4,FALSE),IF($B$23=10,VLOOKUP(C32,Reken!$B$41:$O$49,5,FALSE),IF($B$23=20,VLOOKUP(C32,Reken!$B$41:$O$49,6,FALSE),IF($B$23=25,VLOOKUP(C32,Reken!$B$41:$O$49,7,FALSE),IF($B$23=50,VLOOKUP(C32,Reken!$B$41:$O$49,8,FALSE),IF($B$23=100,VLOOKUP(C32,Reken!$B$41:$O$49,9,FALSE),IF($B$23=200,VLOOKUP(C32,Reken!$B$41:$O$49,10,FALSE),IF($B$23=250,VLOOKUP(C32,Reken!$B$41:$O$49,11,FALSE),IF($B$23=500,VLOOKUP(C32,Reken!$B$41:$O$49,12,FALSE),IF($B$23=1000,VLOOKUP(C32,Reken!$B$41:$O$49,13,FALSE),IF($B$23=10000,VLOOKUP(C32,Reken!$B$41:$O$49,14,FALSE),IF($B$23=0,0,0))))))))))))))</f>
        <v>28.7</v>
      </c>
      <c r="D33" s="10">
        <f>IF($B$23=1,VLOOKUP(D32,Reken!$B$41:$O$49,2,FALSE),IF($B$23=2,VLOOKUP(D32,Reken!$B$41:$O$49,3,FALSE),IF($B$23=5,VLOOKUP(D32,Reken!$B$41:$O$49,4,FALSE),IF($B$23=10,VLOOKUP(D32,Reken!$B$41:$O$49,5,FALSE),IF($B$23=20,VLOOKUP(D32,Reken!$B$41:$O$49,6,FALSE),IF($B$23=25,VLOOKUP(D32,Reken!$B$41:$O$49,7,FALSE),IF($B$23=50,VLOOKUP(D32,Reken!$B$41:$O$49,8,FALSE),IF($B$23=100,VLOOKUP(D32,Reken!$B$41:$O$49,9,FALSE),IF($B$23=200,VLOOKUP(D32,Reken!$B$41:$O$49,10,FALSE),IF($B$23=250,VLOOKUP(D32,Reken!$B$41:$O$49,11,FALSE),IF($B$23=500,VLOOKUP(D32,Reken!$B$41:$O$49,12,FALSE),IF($B$23=1000,VLOOKUP(D32,Reken!$B$41:$O$49,13,FALSE),IF($B$23=10000,VLOOKUP(D32,Reken!$B$41:$O$49,14,FALSE),IF($B$23=0,0,0))))))))))))))</f>
        <v>34.5</v>
      </c>
      <c r="E33" s="10">
        <f>IF($B$23=1,VLOOKUP(E32,Reken!$B$41:$O$49,2,FALSE),IF($B$23=2,VLOOKUP(E32,Reken!$B$41:$O$49,3,FALSE),IF($B$23=5,VLOOKUP(E32,Reken!$B$41:$O$49,4,FALSE),IF($B$23=10,VLOOKUP(E32,Reken!$B$41:$O$49,5,FALSE),IF($B$23=20,VLOOKUP(E32,Reken!$B$41:$O$49,6,FALSE),IF($B$23=25,VLOOKUP(E32,Reken!$B$41:$O$49,7,FALSE),IF($B$23=50,VLOOKUP(E32,Reken!$B$41:$O$49,8,FALSE),IF($B$23=100,VLOOKUP(E32,Reken!$B$41:$O$49,9,FALSE),IF($B$23=200,VLOOKUP(E32,Reken!$B$41:$O$49,10,FALSE),IF($B$23=250,VLOOKUP(E32,Reken!$B$41:$O$49,11,FALSE),IF($B$23=500,VLOOKUP(E32,Reken!$B$41:$O$49,12,FALSE),IF($B$23=1000,VLOOKUP(E32,Reken!$B$41:$O$49,13,FALSE),IF($B$23=10000,VLOOKUP(E32,Reken!$B$41:$O$49,14,FALSE),IF($B$23=0,0,0))))))))))))))</f>
        <v>45.8</v>
      </c>
      <c r="F33" s="10">
        <f>IF($B$23=1,VLOOKUP(F32,Reken!$B$41:$O$49,2,FALSE),IF($B$23=2,VLOOKUP(F32,Reken!$B$41:$O$49,3,FALSE),IF($B$23=5,VLOOKUP(F32,Reken!$B$41:$O$49,4,FALSE),IF($B$23=10,VLOOKUP(F32,Reken!$B$41:$O$49,5,FALSE),IF($B$23=20,VLOOKUP(F32,Reken!$B$41:$O$49,6,FALSE),IF($B$23=25,VLOOKUP(F32,Reken!$B$41:$O$49,7,FALSE),IF($B$23=50,VLOOKUP(F32,Reken!$B$41:$O$49,8,FALSE),IF($B$23=100,VLOOKUP(F32,Reken!$B$41:$O$49,9,FALSE),IF($B$23=200,VLOOKUP(F32,Reken!$B$41:$O$49,10,FALSE),IF($B$23=250,VLOOKUP(F32,Reken!$B$41:$O$49,11,FALSE),IF($B$23=500,VLOOKUP(F32,Reken!$B$41:$O$49,12,FALSE),IF($B$23=1000,VLOOKUP(F32,Reken!$B$41:$O$49,13,FALSE),IF($B$23=10000,VLOOKUP(F32,Reken!$B$41:$O$49,14,FALSE),IF($B$23=0,0,0))))))))))))))</f>
        <v>57.7</v>
      </c>
      <c r="G33" s="10">
        <f>IF($B$23=1,VLOOKUP(G32,Reken!$B$41:$O$49,2,FALSE),IF($B$23=2,VLOOKUP(G32,Reken!$B$41:$O$49,3,FALSE),IF($B$23=5,VLOOKUP(G32,Reken!$B$41:$O$49,4,FALSE),IF($B$23=10,VLOOKUP(G32,Reken!$B$41:$O$49,5,FALSE),IF($B$23=20,VLOOKUP(G32,Reken!$B$41:$O$49,6,FALSE),IF($B$23=25,VLOOKUP(G32,Reken!$B$41:$O$49,7,FALSE),IF($B$23=50,VLOOKUP(G32,Reken!$B$41:$O$49,8,FALSE),IF($B$23=100,VLOOKUP(G32,Reken!$B$41:$O$49,9,FALSE),IF($B$23=200,VLOOKUP(G32,Reken!$B$41:$O$49,10,FALSE),IF($B$23=250,VLOOKUP(G32,Reken!$B$41:$O$49,11,FALSE),IF($B$23=500,VLOOKUP(G32,Reken!$B$41:$O$49,12,FALSE),IF($B$23=1000,VLOOKUP(G32,Reken!$B$41:$O$49,13,FALSE),IF($B$23=10000,VLOOKUP(G32,Reken!$B$41:$O$49,14,FALSE),IF($B$23=0,0,0))))))))))))))</f>
        <v>68.400000000000006</v>
      </c>
      <c r="H33" s="10">
        <f>IF($B$23=1,VLOOKUP(H32,Reken!$B$41:$O$49,2,FALSE),IF($B$23=2,VLOOKUP(H32,Reken!$B$41:$O$49,3,FALSE),IF($B$23=5,VLOOKUP(H32,Reken!$B$41:$O$49,4,FALSE),IF($B$23=10,VLOOKUP(H32,Reken!$B$41:$O$49,5,FALSE),IF($B$23=20,VLOOKUP(H32,Reken!$B$41:$O$49,6,FALSE),IF($B$23=25,VLOOKUP(H32,Reken!$B$41:$O$49,7,FALSE),IF($B$23=50,VLOOKUP(H32,Reken!$B$41:$O$49,8,FALSE),IF($B$23=100,VLOOKUP(H32,Reken!$B$41:$O$49,9,FALSE),IF($B$23=200,VLOOKUP(H32,Reken!$B$41:$O$49,10,FALSE),IF($B$23=250,VLOOKUP(H32,Reken!$B$41:$O$49,11,FALSE),IF($B$23=500,VLOOKUP(H32,Reken!$B$41:$O$49,12,FALSE),IF($B$23=1000,VLOOKUP(H32,Reken!$B$41:$O$49,13,FALSE),IF($B$23=10000,VLOOKUP(H32,Reken!$B$41:$O$49,14,FALSE),IF($B$23=0,0,0))))))))))))))</f>
        <v>78</v>
      </c>
      <c r="I33" s="10">
        <f>IF($B$23=1,VLOOKUP(I32,Reken!$B$41:$O$49,2,FALSE),IF($B$23=2,VLOOKUP(I32,Reken!$B$41:$O$49,3,FALSE),IF($B$23=5,VLOOKUP(I32,Reken!$B$41:$O$49,4,FALSE),IF($B$23=10,VLOOKUP(I32,Reken!$B$41:$O$49,5,FALSE),IF($B$23=20,VLOOKUP(I32,Reken!$B$41:$O$49,6,FALSE),IF($B$23=25,VLOOKUP(I32,Reken!$B$41:$O$49,7,FALSE),IF($B$23=50,VLOOKUP(I32,Reken!$B$41:$O$49,8,FALSE),IF($B$23=100,VLOOKUP(I32,Reken!$B$41:$O$49,9,FALSE),IF($B$23=200,VLOOKUP(I32,Reken!$B$41:$O$49,10,FALSE),IF($B$23=250,VLOOKUP(I32,Reken!$B$41:$O$49,11,FALSE),IF($B$23=500,VLOOKUP(I32,Reken!$B$41:$O$49,12,FALSE),IF($B$23=1000,VLOOKUP(I32,Reken!$B$41:$O$49,13,FALSE),IF($B$23=10000,VLOOKUP(I32,Reken!$B$41:$O$49,14,FALSE),IF($B$23=0,0,0))))))))))))))</f>
        <v>86.2</v>
      </c>
      <c r="J33" s="10">
        <f>IF($B$23=1,VLOOKUP(J32,Reken!$B$41:$O$49,2,FALSE),IF($B$23=2,VLOOKUP(J32,Reken!$B$41:$O$49,3,FALSE),IF($B$23=5,VLOOKUP(J32,Reken!$B$41:$O$49,4,FALSE),IF($B$23=10,VLOOKUP(J32,Reken!$B$41:$O$49,5,FALSE),IF($B$23=20,VLOOKUP(J32,Reken!$B$41:$O$49,6,FALSE),IF($B$23=25,VLOOKUP(J32,Reken!$B$41:$O$49,7,FALSE),IF($B$23=50,VLOOKUP(J32,Reken!$B$41:$O$49,8,FALSE),IF($B$23=100,VLOOKUP(J32,Reken!$B$41:$O$49,9,FALSE),IF($B$23=200,VLOOKUP(J32,Reken!$B$41:$O$49,10,FALSE),IF($B$23=250,VLOOKUP(J32,Reken!$B$41:$O$49,11,FALSE),IF($B$23=500,VLOOKUP(J32,Reken!$B$41:$O$49,12,FALSE),IF($B$23=1000,VLOOKUP(J32,Reken!$B$41:$O$49,13,FALSE),IF($B$23=10000,VLOOKUP(J32,Reken!$B$41:$O$49,14,FALSE),IF($B$23=0,0,0))))))))))))))</f>
        <v>90.2</v>
      </c>
      <c r="Q33" s="154" t="s">
        <v>262</v>
      </c>
      <c r="R33" s="42">
        <f>R30*(R31/100)</f>
        <v>540</v>
      </c>
      <c r="S33" s="46" t="s">
        <v>2</v>
      </c>
    </row>
    <row r="34" spans="1:35">
      <c r="A34" s="7" t="s">
        <v>67</v>
      </c>
      <c r="B34" s="8">
        <f>((B33/1000)*$R$20)</f>
        <v>0</v>
      </c>
      <c r="C34" s="8">
        <f>((C33/1000)*$R$20)</f>
        <v>71.75</v>
      </c>
      <c r="D34" s="8">
        <f>((D33/1000)*$R$20)</f>
        <v>86.250000000000014</v>
      </c>
      <c r="E34" s="8">
        <f>((E33/1000)*$R$20)</f>
        <v>114.5</v>
      </c>
      <c r="F34" s="8">
        <f>((F33/1000)*$R$20)</f>
        <v>144.25</v>
      </c>
      <c r="G34" s="8">
        <f>((G33/1000)*$R$20)</f>
        <v>171</v>
      </c>
      <c r="H34" s="8">
        <f>((H33/1000)*$R$20)</f>
        <v>195</v>
      </c>
      <c r="I34" s="8">
        <f>((I33/1000)*$R$20)</f>
        <v>215.5</v>
      </c>
      <c r="J34" s="9">
        <f>((J33/1000)*$R$20)</f>
        <v>225.5</v>
      </c>
    </row>
    <row r="35" spans="1:35">
      <c r="A35" s="40" t="s">
        <v>68</v>
      </c>
      <c r="B35" s="10">
        <f>(B33/1000)*$R$30</f>
        <v>0</v>
      </c>
      <c r="C35" s="10">
        <f>(C33/1000)*$R$30</f>
        <v>77.489999999999995</v>
      </c>
      <c r="D35" s="10">
        <f>(D33/1000)*$R$30</f>
        <v>93.15</v>
      </c>
      <c r="E35" s="10">
        <f>(E33/1000)*$R$30</f>
        <v>123.66</v>
      </c>
      <c r="F35" s="10">
        <f>(F33/1000)*$R$30</f>
        <v>155.79</v>
      </c>
      <c r="G35" s="10">
        <f>(G33/1000)*$R$30</f>
        <v>184.68</v>
      </c>
      <c r="H35" s="10">
        <f>(H33/1000)*$R$30</f>
        <v>210.6</v>
      </c>
      <c r="I35" s="10">
        <f>(I33/1000)*$R$30</f>
        <v>232.74</v>
      </c>
      <c r="J35" s="11">
        <f>(J33/1000)*$R$30</f>
        <v>243.54000000000002</v>
      </c>
      <c r="Q35" s="33" t="s">
        <v>296</v>
      </c>
      <c r="R35" s="32"/>
    </row>
    <row r="36" spans="1:35">
      <c r="A36" s="41" t="s">
        <v>69</v>
      </c>
      <c r="B36" s="8">
        <f t="shared" ref="B36:J36" si="1">B34+B35</f>
        <v>0</v>
      </c>
      <c r="C36" s="8">
        <f t="shared" si="1"/>
        <v>149.24</v>
      </c>
      <c r="D36" s="8">
        <f t="shared" si="1"/>
        <v>179.40000000000003</v>
      </c>
      <c r="E36" s="8">
        <f t="shared" si="1"/>
        <v>238.16</v>
      </c>
      <c r="F36" s="8">
        <f t="shared" si="1"/>
        <v>300.03999999999996</v>
      </c>
      <c r="G36" s="8">
        <f t="shared" si="1"/>
        <v>355.68</v>
      </c>
      <c r="H36" s="8">
        <f t="shared" si="1"/>
        <v>405.6</v>
      </c>
      <c r="I36" s="8">
        <f t="shared" si="1"/>
        <v>448.24</v>
      </c>
      <c r="J36" s="9">
        <f t="shared" si="1"/>
        <v>469.04</v>
      </c>
      <c r="Q36" s="147" t="s">
        <v>235</v>
      </c>
      <c r="R36" s="141" t="s">
        <v>236</v>
      </c>
    </row>
    <row r="37" spans="1:35">
      <c r="Q37" s="45" t="s">
        <v>260</v>
      </c>
      <c r="R37" s="183">
        <v>10</v>
      </c>
      <c r="S37" s="10"/>
    </row>
    <row r="38" spans="1:35">
      <c r="L38" s="102"/>
      <c r="M38" s="102"/>
      <c r="N38" s="102"/>
      <c r="R38" s="10"/>
      <c r="S38" s="10"/>
    </row>
    <row r="39" spans="1:35">
      <c r="A39" s="33" t="s">
        <v>308</v>
      </c>
      <c r="B39" s="31"/>
      <c r="C39" s="31"/>
      <c r="D39" s="31"/>
      <c r="E39" s="31"/>
      <c r="F39" s="31"/>
      <c r="G39" s="31"/>
      <c r="H39" s="31"/>
      <c r="I39" s="31"/>
      <c r="J39" s="31"/>
      <c r="K39" s="31"/>
      <c r="L39" s="31"/>
      <c r="M39" s="31"/>
      <c r="N39" s="31"/>
      <c r="O39" s="32"/>
      <c r="Q39" s="56" t="s">
        <v>283</v>
      </c>
      <c r="R39" s="10"/>
      <c r="S39" s="10"/>
    </row>
    <row r="40" spans="1:35">
      <c r="A40" s="4" t="s">
        <v>44</v>
      </c>
      <c r="B40" s="5" t="s">
        <v>45</v>
      </c>
      <c r="C40" s="87">
        <v>1</v>
      </c>
      <c r="D40" s="88">
        <v>2</v>
      </c>
      <c r="E40" s="88">
        <v>5</v>
      </c>
      <c r="F40" s="88">
        <v>10</v>
      </c>
      <c r="G40" s="88">
        <v>20</v>
      </c>
      <c r="H40" s="88">
        <v>25</v>
      </c>
      <c r="I40" s="88">
        <v>50</v>
      </c>
      <c r="J40" s="88">
        <v>100</v>
      </c>
      <c r="K40" s="88">
        <v>200</v>
      </c>
      <c r="L40" s="88">
        <v>250</v>
      </c>
      <c r="M40" s="88">
        <v>500</v>
      </c>
      <c r="N40" s="88">
        <v>1000</v>
      </c>
      <c r="O40" s="89">
        <v>10000</v>
      </c>
      <c r="Q40" s="86" t="s">
        <v>113</v>
      </c>
      <c r="R40" s="10"/>
      <c r="S40" s="10"/>
    </row>
    <row r="41" spans="1:35">
      <c r="A41" s="90">
        <v>0</v>
      </c>
      <c r="B41" s="91">
        <v>0</v>
      </c>
      <c r="C41" s="92">
        <v>0</v>
      </c>
      <c r="D41" s="92">
        <v>0</v>
      </c>
      <c r="E41" s="92">
        <v>0</v>
      </c>
      <c r="F41" s="92">
        <v>0</v>
      </c>
      <c r="G41" s="92">
        <v>0</v>
      </c>
      <c r="H41" s="92">
        <v>0</v>
      </c>
      <c r="I41" s="92">
        <v>0</v>
      </c>
      <c r="J41" s="92">
        <v>0</v>
      </c>
      <c r="K41" s="92">
        <v>0</v>
      </c>
      <c r="L41" s="92">
        <v>0</v>
      </c>
      <c r="M41" s="92">
        <v>0</v>
      </c>
      <c r="N41" s="92">
        <v>0</v>
      </c>
      <c r="O41" s="93">
        <v>0</v>
      </c>
      <c r="Q41" s="59" t="s">
        <v>114</v>
      </c>
      <c r="R41" s="10"/>
      <c r="S41" s="10"/>
    </row>
    <row r="42" spans="1:35">
      <c r="A42" s="90">
        <v>10</v>
      </c>
      <c r="B42" s="91">
        <f>0.16</f>
        <v>0.16</v>
      </c>
      <c r="C42" s="92">
        <v>10.199999999999999</v>
      </c>
      <c r="D42" s="92">
        <v>12.2</v>
      </c>
      <c r="E42" s="92">
        <v>15.1</v>
      </c>
      <c r="F42" s="92">
        <v>17.5</v>
      </c>
      <c r="G42" s="92">
        <v>20.3</v>
      </c>
      <c r="H42" s="92">
        <v>21.3</v>
      </c>
      <c r="I42" s="92">
        <v>24.7</v>
      </c>
      <c r="J42" s="92">
        <v>28.7</v>
      </c>
      <c r="K42" s="92">
        <v>33.4</v>
      </c>
      <c r="L42" s="92">
        <v>35</v>
      </c>
      <c r="M42" s="92">
        <v>40.799999999999997</v>
      </c>
      <c r="N42" s="92">
        <v>47.6</v>
      </c>
      <c r="O42" s="93">
        <v>80</v>
      </c>
      <c r="Q42" s="60" t="s">
        <v>115</v>
      </c>
      <c r="R42" s="10"/>
      <c r="S42" s="10"/>
    </row>
    <row r="43" spans="1:35">
      <c r="A43" s="90">
        <v>15</v>
      </c>
      <c r="B43" s="91">
        <f t="shared" ref="B43:B49" si="2">A43/60</f>
        <v>0.25</v>
      </c>
      <c r="C43" s="92">
        <v>11.2</v>
      </c>
      <c r="D43" s="92">
        <v>13.7</v>
      </c>
      <c r="E43" s="92">
        <v>17.100000000000001</v>
      </c>
      <c r="F43" s="92">
        <v>20.2</v>
      </c>
      <c r="G43" s="92">
        <v>23.7</v>
      </c>
      <c r="H43" s="92">
        <v>24.9</v>
      </c>
      <c r="I43" s="92">
        <v>29.3</v>
      </c>
      <c r="J43" s="92">
        <v>34.5</v>
      </c>
      <c r="K43" s="92">
        <v>40.700000000000003</v>
      </c>
      <c r="L43" s="92">
        <v>43</v>
      </c>
      <c r="M43" s="92">
        <v>50.8</v>
      </c>
      <c r="N43" s="92">
        <v>60.2</v>
      </c>
      <c r="O43" s="93">
        <v>110</v>
      </c>
      <c r="Q43" s="43" t="s">
        <v>114</v>
      </c>
      <c r="R43" s="10"/>
      <c r="S43" s="10"/>
    </row>
    <row r="44" spans="1:35">
      <c r="A44" s="90">
        <v>30</v>
      </c>
      <c r="B44" s="91">
        <f t="shared" si="2"/>
        <v>0.5</v>
      </c>
      <c r="C44" s="92">
        <v>13.5</v>
      </c>
      <c r="D44" s="92">
        <v>16.600000000000001</v>
      </c>
      <c r="E44" s="92">
        <v>21.2</v>
      </c>
      <c r="F44" s="92">
        <v>25.3</v>
      </c>
      <c r="G44" s="92">
        <v>30.2</v>
      </c>
      <c r="H44" s="92">
        <v>32</v>
      </c>
      <c r="I44" s="92">
        <v>38.200000000000003</v>
      </c>
      <c r="J44" s="92">
        <v>45.8</v>
      </c>
      <c r="K44" s="92">
        <v>55</v>
      </c>
      <c r="L44" s="92">
        <v>58.4</v>
      </c>
      <c r="M44" s="92">
        <v>70.400000000000006</v>
      </c>
      <c r="N44" s="92">
        <v>84.9</v>
      </c>
      <c r="O44" s="93">
        <v>160</v>
      </c>
      <c r="S44" s="10"/>
    </row>
    <row r="45" spans="1:35">
      <c r="A45" s="90">
        <v>60</v>
      </c>
      <c r="B45" s="91">
        <f t="shared" si="2"/>
        <v>1</v>
      </c>
      <c r="C45" s="92">
        <v>16.2</v>
      </c>
      <c r="D45" s="92">
        <v>20</v>
      </c>
      <c r="E45" s="92">
        <v>25.8</v>
      </c>
      <c r="F45" s="92">
        <v>31</v>
      </c>
      <c r="G45" s="92">
        <v>37.200000000000003</v>
      </c>
      <c r="H45" s="92">
        <v>39.5</v>
      </c>
      <c r="I45" s="92">
        <v>47.7</v>
      </c>
      <c r="J45" s="92">
        <v>57.7</v>
      </c>
      <c r="K45" s="92">
        <v>70</v>
      </c>
      <c r="L45" s="92">
        <v>74.5</v>
      </c>
      <c r="M45" s="92">
        <v>90.7</v>
      </c>
      <c r="N45" s="92">
        <v>110.6</v>
      </c>
      <c r="O45" s="93">
        <v>220</v>
      </c>
      <c r="Q45" s="33" t="s">
        <v>297</v>
      </c>
      <c r="R45" s="31"/>
      <c r="S45" s="32"/>
    </row>
    <row r="46" spans="1:35">
      <c r="A46" s="90">
        <v>120</v>
      </c>
      <c r="B46" s="91">
        <f t="shared" si="2"/>
        <v>2</v>
      </c>
      <c r="C46" s="92">
        <v>19.5</v>
      </c>
      <c r="D46" s="92">
        <v>24</v>
      </c>
      <c r="E46" s="92">
        <v>30.7</v>
      </c>
      <c r="F46" s="92">
        <v>36.799999999999997</v>
      </c>
      <c r="G46" s="92">
        <v>44.2</v>
      </c>
      <c r="H46" s="92">
        <v>46.9</v>
      </c>
      <c r="I46" s="92">
        <v>56.5</v>
      </c>
      <c r="J46" s="92">
        <v>68.400000000000006</v>
      </c>
      <c r="K46" s="92">
        <v>83.1</v>
      </c>
      <c r="L46" s="92">
        <v>88.6</v>
      </c>
      <c r="M46" s="92">
        <v>108</v>
      </c>
      <c r="N46" s="92">
        <v>132.1</v>
      </c>
      <c r="O46" s="93">
        <v>260</v>
      </c>
      <c r="Q46" s="147" t="s">
        <v>282</v>
      </c>
      <c r="R46" s="148" t="s">
        <v>114</v>
      </c>
      <c r="S46" s="135" t="s">
        <v>115</v>
      </c>
    </row>
    <row r="47" spans="1:35">
      <c r="A47" s="90">
        <v>240</v>
      </c>
      <c r="B47" s="91">
        <f t="shared" si="2"/>
        <v>4</v>
      </c>
      <c r="C47" s="92">
        <v>23.4</v>
      </c>
      <c r="D47" s="92">
        <v>28.4</v>
      </c>
      <c r="E47" s="92">
        <v>35.9</v>
      </c>
      <c r="F47" s="92">
        <v>42.8</v>
      </c>
      <c r="G47" s="92">
        <v>51.1</v>
      </c>
      <c r="H47" s="92">
        <v>54.1</v>
      </c>
      <c r="I47" s="92">
        <v>64.8</v>
      </c>
      <c r="J47" s="92">
        <v>78</v>
      </c>
      <c r="K47" s="92">
        <v>94.1</v>
      </c>
      <c r="L47" s="92">
        <v>100.1</v>
      </c>
      <c r="M47" s="92">
        <v>121.4</v>
      </c>
      <c r="N47" s="92">
        <v>147.6</v>
      </c>
      <c r="O47" s="93">
        <v>280</v>
      </c>
      <c r="Q47" s="12" t="s">
        <v>192</v>
      </c>
      <c r="R47" s="164" t="s">
        <v>268</v>
      </c>
      <c r="S47" s="163" t="s">
        <v>193</v>
      </c>
      <c r="AH47" s="28"/>
      <c r="AI47" s="28"/>
    </row>
    <row r="48" spans="1:35">
      <c r="A48" s="90">
        <v>480</v>
      </c>
      <c r="B48" s="91">
        <f t="shared" si="2"/>
        <v>8</v>
      </c>
      <c r="C48" s="92">
        <v>27.7</v>
      </c>
      <c r="D48" s="92">
        <v>33.4</v>
      </c>
      <c r="E48" s="92">
        <v>41.7</v>
      </c>
      <c r="F48" s="92">
        <v>49.1</v>
      </c>
      <c r="G48" s="92">
        <v>58</v>
      </c>
      <c r="H48" s="92">
        <v>61.2</v>
      </c>
      <c r="I48" s="92">
        <v>72.5</v>
      </c>
      <c r="J48" s="92">
        <v>86.2</v>
      </c>
      <c r="K48" s="92">
        <v>102.8</v>
      </c>
      <c r="L48" s="92">
        <v>108.9</v>
      </c>
      <c r="M48" s="92">
        <v>130.4</v>
      </c>
      <c r="N48" s="92">
        <v>156.69999999999999</v>
      </c>
      <c r="O48" s="93">
        <v>290</v>
      </c>
      <c r="Q48" s="12" t="s">
        <v>194</v>
      </c>
      <c r="R48" s="164" t="s">
        <v>195</v>
      </c>
      <c r="S48" s="165" t="s">
        <v>132</v>
      </c>
      <c r="AH48" s="28"/>
    </row>
    <row r="49" spans="1:35">
      <c r="A49" s="94">
        <v>720</v>
      </c>
      <c r="B49" s="95">
        <f t="shared" si="2"/>
        <v>12</v>
      </c>
      <c r="C49" s="96">
        <v>30.5</v>
      </c>
      <c r="D49" s="96">
        <v>36.5</v>
      </c>
      <c r="E49" s="96">
        <v>45.2</v>
      </c>
      <c r="F49" s="96">
        <v>52.9</v>
      </c>
      <c r="G49" s="96">
        <v>61.9</v>
      </c>
      <c r="H49" s="96">
        <v>65.2</v>
      </c>
      <c r="I49" s="96">
        <v>76.599999999999994</v>
      </c>
      <c r="J49" s="96">
        <v>90.2</v>
      </c>
      <c r="K49" s="96">
        <v>106.6</v>
      </c>
      <c r="L49" s="96">
        <v>112.5</v>
      </c>
      <c r="M49" s="96">
        <v>133.4</v>
      </c>
      <c r="N49" s="96">
        <v>158.6</v>
      </c>
      <c r="O49" s="97">
        <v>290</v>
      </c>
      <c r="Q49" s="12" t="s">
        <v>196</v>
      </c>
      <c r="R49" s="164" t="s">
        <v>197</v>
      </c>
      <c r="S49" s="165" t="s">
        <v>198</v>
      </c>
      <c r="AH49" s="28"/>
    </row>
    <row r="50" spans="1:35">
      <c r="A50" s="3"/>
      <c r="B50" s="3"/>
      <c r="C50" s="2"/>
      <c r="D50" s="2"/>
      <c r="E50" s="2"/>
      <c r="F50" s="2"/>
      <c r="G50" s="2"/>
      <c r="H50" s="2"/>
      <c r="I50" s="2"/>
      <c r="J50" s="2"/>
      <c r="K50" s="2"/>
      <c r="L50" s="2"/>
      <c r="M50" s="2"/>
      <c r="N50" s="2"/>
      <c r="O50" s="2"/>
      <c r="Q50" s="12" t="s">
        <v>199</v>
      </c>
      <c r="R50" s="164" t="s">
        <v>200</v>
      </c>
      <c r="S50" s="165" t="s">
        <v>201</v>
      </c>
      <c r="AG50" s="28"/>
      <c r="AH50" s="28"/>
    </row>
    <row r="51" spans="1:35">
      <c r="Q51" s="40" t="s">
        <v>202</v>
      </c>
      <c r="R51" s="164" t="s">
        <v>206</v>
      </c>
      <c r="S51" s="166"/>
      <c r="AF51" s="28"/>
      <c r="AG51" s="28"/>
      <c r="AH51" s="28"/>
    </row>
    <row r="52" spans="1:35">
      <c r="A52" s="33" t="s">
        <v>285</v>
      </c>
      <c r="B52" s="31"/>
      <c r="C52" s="31"/>
      <c r="D52" s="31"/>
      <c r="E52" s="31"/>
      <c r="F52" s="31"/>
      <c r="G52" s="31"/>
      <c r="H52" s="31"/>
      <c r="I52" s="31"/>
      <c r="J52" s="31"/>
      <c r="K52" s="31"/>
      <c r="L52" s="31"/>
      <c r="M52" s="31"/>
      <c r="N52" s="32"/>
      <c r="O52" s="10"/>
      <c r="P52" s="10"/>
      <c r="Q52" s="40" t="s">
        <v>203</v>
      </c>
      <c r="R52" s="167" t="s">
        <v>207</v>
      </c>
      <c r="S52" s="166"/>
      <c r="AF52" s="28"/>
      <c r="AG52" s="47"/>
      <c r="AH52" s="28"/>
    </row>
    <row r="53" spans="1:35">
      <c r="A53" s="80" t="s">
        <v>291</v>
      </c>
      <c r="B53" s="5"/>
      <c r="C53" s="5"/>
      <c r="D53" s="5"/>
      <c r="E53" s="79" t="s">
        <v>166</v>
      </c>
      <c r="F53" s="5"/>
      <c r="G53" s="5"/>
      <c r="H53" s="5"/>
      <c r="I53" s="5"/>
      <c r="J53" s="5"/>
      <c r="K53" s="5"/>
      <c r="L53" s="5"/>
      <c r="M53" s="5"/>
      <c r="N53" s="6"/>
      <c r="O53" s="10"/>
      <c r="P53" s="10"/>
      <c r="Q53" s="40" t="s">
        <v>204</v>
      </c>
      <c r="R53" s="167" t="s">
        <v>208</v>
      </c>
      <c r="S53" s="166"/>
      <c r="AF53" s="131"/>
      <c r="AG53" s="28"/>
      <c r="AH53" s="28"/>
    </row>
    <row r="54" spans="1:35">
      <c r="A54" s="16" t="s">
        <v>21</v>
      </c>
      <c r="B54" s="10"/>
      <c r="C54" s="10"/>
      <c r="D54" s="10"/>
      <c r="E54" s="10" t="s">
        <v>155</v>
      </c>
      <c r="F54" s="10">
        <f>Reken!R7</f>
        <v>225</v>
      </c>
      <c r="G54" s="10" t="s">
        <v>3</v>
      </c>
      <c r="H54" s="10"/>
      <c r="I54" s="10"/>
      <c r="J54" s="10"/>
      <c r="K54" s="10"/>
      <c r="L54" s="10"/>
      <c r="M54" s="10"/>
      <c r="N54" s="11"/>
      <c r="O54" s="10"/>
      <c r="P54" s="10"/>
      <c r="Q54" s="41" t="s">
        <v>205</v>
      </c>
      <c r="R54" s="168" t="s">
        <v>209</v>
      </c>
      <c r="S54" s="169"/>
      <c r="AF54" s="131"/>
      <c r="AG54" s="28"/>
      <c r="AH54" s="28"/>
      <c r="AI54" s="28"/>
    </row>
    <row r="55" spans="1:35">
      <c r="A55" s="12" t="s">
        <v>156</v>
      </c>
      <c r="B55" s="10">
        <f>Reken!R22</f>
        <v>2250</v>
      </c>
      <c r="C55" s="10" t="s">
        <v>2</v>
      </c>
      <c r="D55" s="10"/>
      <c r="E55" s="10"/>
      <c r="F55" s="10"/>
      <c r="G55" s="10"/>
      <c r="H55" s="10"/>
      <c r="I55" s="10"/>
      <c r="J55" s="10"/>
      <c r="K55" s="10"/>
      <c r="L55" s="10"/>
      <c r="M55" s="10"/>
      <c r="N55" s="11"/>
      <c r="O55" s="10"/>
      <c r="P55" s="10"/>
      <c r="AF55" s="131"/>
      <c r="AG55" s="28"/>
      <c r="AH55" s="28"/>
    </row>
    <row r="56" spans="1:35">
      <c r="A56" s="170" t="s">
        <v>22</v>
      </c>
      <c r="B56" s="35">
        <v>0.1</v>
      </c>
      <c r="C56" s="23" t="s">
        <v>8</v>
      </c>
      <c r="D56" s="10"/>
      <c r="E56" s="10"/>
      <c r="F56" s="10"/>
      <c r="G56" s="10"/>
      <c r="H56" s="10"/>
      <c r="I56" s="10"/>
      <c r="J56" s="10"/>
      <c r="K56" s="10"/>
      <c r="L56" s="10"/>
      <c r="M56" s="10"/>
      <c r="N56" s="11"/>
      <c r="O56" s="10"/>
      <c r="P56" s="10"/>
      <c r="Q56" s="51" t="s">
        <v>298</v>
      </c>
      <c r="AF56" s="131"/>
      <c r="AG56" s="28"/>
      <c r="AH56" s="28"/>
    </row>
    <row r="57" spans="1:35">
      <c r="A57" s="12" t="s">
        <v>23</v>
      </c>
      <c r="B57" s="10">
        <f>B55*B56*B58</f>
        <v>67.5</v>
      </c>
      <c r="C57" s="10" t="s">
        <v>3</v>
      </c>
      <c r="D57" s="10"/>
      <c r="E57" s="10"/>
      <c r="F57" s="10"/>
      <c r="G57" s="10"/>
      <c r="H57" s="10"/>
      <c r="I57" s="10"/>
      <c r="J57" s="10"/>
      <c r="K57" s="10"/>
      <c r="L57" s="10"/>
      <c r="M57" s="10"/>
      <c r="N57" s="11"/>
      <c r="O57" s="10"/>
      <c r="P57" s="10"/>
      <c r="Q57" s="46" t="str">
        <f>IF(AND('Invoer factoren'!M8="JA",'Invoer factoren'!M9="JA"),"1",IF(AND('Invoer factoren'!M8="JA",'Invoer factoren'!M9="NEE"),"2",IF(AND('Invoer factoren'!M8="NEE",'Invoer factoren'!M9="JA"),"3",IF(AND('Invoer factoren'!M8="NEE",'Invoer factoren'!M9="NEE"),"4"," "))))</f>
        <v>1</v>
      </c>
      <c r="AF57" s="131"/>
      <c r="AG57" s="28"/>
      <c r="AH57" s="28"/>
    </row>
    <row r="58" spans="1:35">
      <c r="A58" s="34" t="s">
        <v>24</v>
      </c>
      <c r="B58" s="35">
        <v>0.3</v>
      </c>
      <c r="C58" s="15" t="s">
        <v>20</v>
      </c>
      <c r="D58" s="10"/>
      <c r="E58" s="10"/>
      <c r="F58" s="10"/>
      <c r="G58" s="10"/>
      <c r="H58" s="10"/>
      <c r="I58" s="10"/>
      <c r="J58" s="10"/>
      <c r="K58" s="10"/>
      <c r="L58" s="10"/>
      <c r="M58" s="10"/>
      <c r="N58" s="11"/>
      <c r="O58" s="10"/>
      <c r="P58" s="10"/>
      <c r="Q58" s="10"/>
      <c r="R58" s="10"/>
      <c r="S58" s="10"/>
      <c r="AF58" s="131"/>
      <c r="AG58" s="28"/>
      <c r="AH58" s="28"/>
      <c r="AI58" s="28"/>
    </row>
    <row r="59" spans="1:35">
      <c r="A59" s="16"/>
      <c r="B59" s="10"/>
      <c r="C59" s="119"/>
      <c r="D59" s="10"/>
      <c r="E59" s="10"/>
      <c r="F59" s="10"/>
      <c r="G59" s="10"/>
      <c r="H59" s="10"/>
      <c r="I59" s="10"/>
      <c r="J59" s="10"/>
      <c r="K59" s="10"/>
      <c r="L59" s="10"/>
      <c r="M59" s="10"/>
      <c r="N59" s="11"/>
      <c r="O59" s="10"/>
      <c r="P59" s="10"/>
      <c r="Q59" s="33" t="s">
        <v>299</v>
      </c>
      <c r="R59" s="31"/>
      <c r="S59" s="31"/>
      <c r="T59" s="31"/>
      <c r="U59" s="31"/>
      <c r="V59" s="31"/>
      <c r="W59" s="32"/>
      <c r="AF59" s="131"/>
      <c r="AG59" s="28"/>
      <c r="AH59" s="28"/>
    </row>
    <row r="60" spans="1:35">
      <c r="A60" s="12"/>
      <c r="B60" s="10"/>
      <c r="C60" s="10"/>
      <c r="D60" s="10"/>
      <c r="E60" s="10"/>
      <c r="F60" s="10"/>
      <c r="G60" s="10"/>
      <c r="H60" s="10"/>
      <c r="I60" s="10"/>
      <c r="J60" s="10"/>
      <c r="K60" s="10"/>
      <c r="L60" s="10"/>
      <c r="M60" s="10"/>
      <c r="N60" s="11"/>
      <c r="O60" s="10"/>
      <c r="P60" s="10"/>
      <c r="Q60" s="33" t="s">
        <v>300</v>
      </c>
      <c r="R60" s="31"/>
      <c r="S60" s="31"/>
      <c r="T60" s="31"/>
      <c r="U60" s="31"/>
      <c r="V60" s="31"/>
      <c r="W60" s="32"/>
      <c r="AF60" s="131"/>
      <c r="AG60" s="28"/>
      <c r="AH60" s="28"/>
    </row>
    <row r="61" spans="1:35">
      <c r="A61" s="13" t="s">
        <v>25</v>
      </c>
      <c r="B61" s="14"/>
      <c r="C61" s="15"/>
      <c r="D61" s="10"/>
      <c r="E61" s="10"/>
      <c r="F61" s="10"/>
      <c r="G61" s="10"/>
      <c r="H61" s="10"/>
      <c r="I61" s="10"/>
      <c r="J61" s="10"/>
      <c r="K61" s="10"/>
      <c r="L61" s="10"/>
      <c r="M61" s="10"/>
      <c r="N61" s="11"/>
      <c r="O61" s="10"/>
      <c r="P61" s="10"/>
      <c r="Q61" s="134" t="s">
        <v>210</v>
      </c>
      <c r="R61" s="134" t="s">
        <v>239</v>
      </c>
      <c r="S61" s="147" t="s">
        <v>109</v>
      </c>
      <c r="T61" s="134" t="s">
        <v>110</v>
      </c>
      <c r="U61" s="148" t="s">
        <v>223</v>
      </c>
      <c r="V61" s="141" t="s">
        <v>284</v>
      </c>
      <c r="W61" s="134" t="s">
        <v>259</v>
      </c>
      <c r="AF61" s="131"/>
      <c r="AG61" s="28"/>
      <c r="AH61" s="28"/>
    </row>
    <row r="62" spans="1:35">
      <c r="A62" s="16" t="s">
        <v>26</v>
      </c>
      <c r="B62" s="10">
        <f>$F$54</f>
        <v>225</v>
      </c>
      <c r="C62" s="11" t="s">
        <v>3</v>
      </c>
      <c r="D62" s="10"/>
      <c r="E62" s="10"/>
      <c r="F62" s="10"/>
      <c r="G62" s="10"/>
      <c r="H62" s="10"/>
      <c r="I62" s="10"/>
      <c r="J62" s="10"/>
      <c r="K62" s="10"/>
      <c r="L62" s="10"/>
      <c r="M62" s="10"/>
      <c r="N62" s="11"/>
      <c r="O62" s="10"/>
      <c r="P62" s="10"/>
      <c r="Q62" s="132" t="s">
        <v>211</v>
      </c>
      <c r="R62" s="39" t="s">
        <v>240</v>
      </c>
      <c r="S62" s="4">
        <f>VLOOKUP(Q62,$B$6:$O$17,9,FALSE)</f>
        <v>554</v>
      </c>
      <c r="T62" s="44" t="str">
        <f>VLOOKUP(Q62,$B$6:$O$17,10,FALSE)</f>
        <v>m2</v>
      </c>
      <c r="U62" s="159" t="str">
        <f>VLOOKUP(Q62,$B$6:$O$17,14,FALSE)</f>
        <v>€66420 - €664200</v>
      </c>
      <c r="V62" s="44">
        <f>ROUND((S62/$R$30)*100,0)</f>
        <v>21</v>
      </c>
      <c r="W62" s="39" t="s">
        <v>253</v>
      </c>
      <c r="AF62" s="131"/>
      <c r="AG62" s="28"/>
    </row>
    <row r="63" spans="1:35">
      <c r="A63" s="21" t="s">
        <v>188</v>
      </c>
      <c r="B63" s="5">
        <f>C6</f>
        <v>120</v>
      </c>
      <c r="C63" s="6" t="s">
        <v>2</v>
      </c>
      <c r="D63" s="10"/>
      <c r="E63" s="10"/>
      <c r="F63" s="10"/>
      <c r="G63" s="10"/>
      <c r="H63" s="10"/>
      <c r="I63" s="10"/>
      <c r="J63" s="10"/>
      <c r="K63" s="10"/>
      <c r="L63" s="10"/>
      <c r="M63" s="10"/>
      <c r="N63" s="11"/>
      <c r="O63" s="10"/>
      <c r="P63" s="10"/>
      <c r="Q63" s="132" t="s">
        <v>212</v>
      </c>
      <c r="R63" s="39" t="s">
        <v>241</v>
      </c>
      <c r="S63" s="12">
        <f t="shared" ref="S63:S65" si="3">VLOOKUP(Q63,$B$6:$O$17,9,FALSE)</f>
        <v>709</v>
      </c>
      <c r="T63" s="39" t="str">
        <f>VLOOKUP(Q63,$B$6:$O$17,10,FALSE)</f>
        <v>m2</v>
      </c>
      <c r="U63" s="160" t="str">
        <f t="shared" ref="U63:U65" si="4">VLOOKUP(Q63,$B$6:$O$17,14,FALSE)</f>
        <v>€70848 - €141696</v>
      </c>
      <c r="V63" s="39">
        <f>ROUND((S63/$R$30)*100,0)</f>
        <v>26</v>
      </c>
      <c r="W63" s="39" t="s">
        <v>255</v>
      </c>
      <c r="AF63" s="131"/>
      <c r="AG63" s="28"/>
    </row>
    <row r="64" spans="1:35">
      <c r="A64" s="120" t="s">
        <v>186</v>
      </c>
      <c r="B64" s="10">
        <f>D6</f>
        <v>100</v>
      </c>
      <c r="C64" s="11" t="s">
        <v>2</v>
      </c>
      <c r="D64" s="10"/>
      <c r="E64" s="10"/>
      <c r="F64" s="10"/>
      <c r="G64" s="10"/>
      <c r="H64" s="10"/>
      <c r="I64" s="10"/>
      <c r="J64" s="10"/>
      <c r="K64" s="10"/>
      <c r="L64" s="10"/>
      <c r="M64" s="10"/>
      <c r="N64" s="11"/>
      <c r="O64" s="10"/>
      <c r="P64" s="10"/>
      <c r="Q64" s="132" t="s">
        <v>136</v>
      </c>
      <c r="R64" s="39" t="s">
        <v>242</v>
      </c>
      <c r="S64" s="12">
        <f>VLOOKUP(Q64,$B$6:$O$17,9,FALSE)</f>
        <v>856</v>
      </c>
      <c r="T64" s="39" t="str">
        <f>VLOOKUP(Q64,$B$6:$O$17,10,FALSE)</f>
        <v>m2</v>
      </c>
      <c r="U64" s="160" t="str">
        <f t="shared" si="4"/>
        <v>€64155 - €64155</v>
      </c>
      <c r="V64" s="39">
        <f>ROUND((S64/$R$30)*100,0)</f>
        <v>32</v>
      </c>
      <c r="W64" s="39" t="s">
        <v>250</v>
      </c>
      <c r="AF64" s="131"/>
      <c r="AG64" s="28"/>
    </row>
    <row r="65" spans="1:23">
      <c r="A65" s="120" t="s">
        <v>187</v>
      </c>
      <c r="B65" s="10">
        <f>E6</f>
        <v>150</v>
      </c>
      <c r="C65" s="11" t="s">
        <v>2</v>
      </c>
      <c r="D65" s="10"/>
      <c r="E65" s="10"/>
      <c r="F65" s="10"/>
      <c r="G65" s="10"/>
      <c r="H65" s="10"/>
      <c r="I65" s="10"/>
      <c r="J65" s="10"/>
      <c r="K65" s="10"/>
      <c r="L65" s="10"/>
      <c r="M65" s="10"/>
      <c r="N65" s="11"/>
      <c r="O65" s="10"/>
      <c r="P65" s="10"/>
      <c r="Q65" s="133" t="s">
        <v>137</v>
      </c>
      <c r="R65" s="42" t="s">
        <v>242</v>
      </c>
      <c r="S65" s="7">
        <f t="shared" si="3"/>
        <v>1166</v>
      </c>
      <c r="T65" s="42" t="str">
        <f t="shared" ref="T65" si="5">VLOOKUP(Q65,$B$6:$O$17,10,FALSE)</f>
        <v>m2</v>
      </c>
      <c r="U65" s="161" t="str">
        <f t="shared" si="4"/>
        <v>€215573 - €215573</v>
      </c>
      <c r="V65" s="42">
        <f>ROUND((S65/$R$30)*100,0)</f>
        <v>43</v>
      </c>
      <c r="W65" s="42" t="s">
        <v>277</v>
      </c>
    </row>
    <row r="66" spans="1:23">
      <c r="A66" s="54" t="s">
        <v>18</v>
      </c>
      <c r="B66" s="8">
        <f>B70/B62</f>
        <v>4000</v>
      </c>
      <c r="C66" s="9" t="s">
        <v>66</v>
      </c>
      <c r="D66" s="10"/>
      <c r="E66" s="10"/>
      <c r="F66" s="10"/>
      <c r="G66" s="10"/>
      <c r="H66" s="10"/>
      <c r="I66" s="10"/>
      <c r="J66" s="10"/>
      <c r="K66" s="10"/>
      <c r="L66" s="10"/>
      <c r="M66" s="10"/>
      <c r="N66" s="11"/>
      <c r="O66" s="10"/>
      <c r="P66" s="10"/>
      <c r="Q66" s="131"/>
      <c r="U66" s="2"/>
      <c r="W66" s="10"/>
    </row>
    <row r="67" spans="1:23">
      <c r="A67" s="21" t="s">
        <v>71</v>
      </c>
      <c r="B67" s="5">
        <f>H6</f>
        <v>6</v>
      </c>
      <c r="C67" s="6" t="s">
        <v>2</v>
      </c>
      <c r="D67" s="10"/>
      <c r="E67" s="10"/>
      <c r="F67" s="10"/>
      <c r="G67" s="10"/>
      <c r="H67" s="10"/>
      <c r="I67" s="10"/>
      <c r="J67" s="10"/>
      <c r="K67" s="10"/>
      <c r="L67" s="10"/>
      <c r="M67" s="10"/>
      <c r="N67" s="11"/>
      <c r="O67" s="10"/>
      <c r="P67" s="10"/>
      <c r="Q67" s="33" t="s">
        <v>301</v>
      </c>
      <c r="R67" s="31"/>
      <c r="S67" s="31"/>
      <c r="T67" s="31"/>
      <c r="U67" s="149"/>
      <c r="V67" s="30"/>
      <c r="W67" s="32"/>
    </row>
    <row r="68" spans="1:23">
      <c r="A68" s="54" t="s">
        <v>72</v>
      </c>
      <c r="B68" s="8">
        <f>B67*B69</f>
        <v>45000</v>
      </c>
      <c r="C68" s="9" t="s">
        <v>66</v>
      </c>
      <c r="D68" s="10"/>
      <c r="E68" s="10"/>
      <c r="F68" s="10"/>
      <c r="G68" s="10"/>
      <c r="H68" s="10"/>
      <c r="I68" s="10"/>
      <c r="J68" s="10"/>
      <c r="K68" s="10"/>
      <c r="L68" s="10"/>
      <c r="M68" s="10"/>
      <c r="N68" s="11"/>
      <c r="O68" s="10"/>
      <c r="P68" s="10"/>
      <c r="Q68" s="147" t="s">
        <v>210</v>
      </c>
      <c r="R68" s="141" t="s">
        <v>239</v>
      </c>
      <c r="S68" s="147" t="s">
        <v>109</v>
      </c>
      <c r="T68" s="141" t="s">
        <v>110</v>
      </c>
      <c r="U68" s="148" t="s">
        <v>223</v>
      </c>
      <c r="V68" s="141" t="s">
        <v>284</v>
      </c>
      <c r="W68" s="32" t="s">
        <v>259</v>
      </c>
    </row>
    <row r="69" spans="1:23">
      <c r="A69" s="16" t="s">
        <v>153</v>
      </c>
      <c r="B69" s="10">
        <f>(B62/B56)/B58</f>
        <v>7500</v>
      </c>
      <c r="C69" s="58" t="s">
        <v>2</v>
      </c>
      <c r="D69" s="10"/>
      <c r="E69" s="118"/>
      <c r="F69" s="118"/>
      <c r="G69" s="118"/>
      <c r="H69" s="10"/>
      <c r="I69" s="10"/>
      <c r="J69" s="10"/>
      <c r="K69" s="10"/>
      <c r="L69" s="10"/>
      <c r="M69" s="10"/>
      <c r="N69" s="11"/>
      <c r="O69" s="10"/>
      <c r="P69" s="10"/>
      <c r="Q69" s="142" t="s">
        <v>211</v>
      </c>
      <c r="R69" s="60" t="s">
        <v>240</v>
      </c>
      <c r="S69" s="145">
        <f>VLOOKUP(Q69,$B$6:$O$17,9,FALSE)</f>
        <v>554</v>
      </c>
      <c r="T69" s="44" t="str">
        <f>VLOOKUP(Q69,$B$6:$O$17,10,FALSE)</f>
        <v>m2</v>
      </c>
      <c r="U69" s="157" t="str">
        <f>VLOOKUP(Q69,$B$6:$O$17,14,FALSE)</f>
        <v>€66420 - €664200</v>
      </c>
      <c r="V69" s="39">
        <f>ROUND((S69/$R$30)*100,0)</f>
        <v>21</v>
      </c>
      <c r="W69" s="11" t="s">
        <v>253</v>
      </c>
    </row>
    <row r="70" spans="1:23">
      <c r="A70" s="121" t="s">
        <v>160</v>
      </c>
      <c r="B70" s="5">
        <f>B69*B63</f>
        <v>900000</v>
      </c>
      <c r="C70" s="6" t="s">
        <v>66</v>
      </c>
      <c r="D70" s="10"/>
      <c r="E70" s="10"/>
      <c r="F70" s="10"/>
      <c r="G70" s="10"/>
      <c r="H70" s="10"/>
      <c r="I70" s="10"/>
      <c r="J70" s="10"/>
      <c r="K70" s="10"/>
      <c r="L70" s="10"/>
      <c r="M70" s="10"/>
      <c r="N70" s="11"/>
      <c r="O70" s="10"/>
      <c r="P70" s="10"/>
      <c r="Q70" s="150" t="s">
        <v>212</v>
      </c>
      <c r="R70" s="43" t="s">
        <v>241</v>
      </c>
      <c r="S70" s="41">
        <f>VLOOKUP(Q70,$B$6:$O$17,9,FALSE)</f>
        <v>709</v>
      </c>
      <c r="T70" s="42" t="str">
        <f>VLOOKUP(Q70,$B$6:$O$17,10,FALSE)</f>
        <v>m2</v>
      </c>
      <c r="U70" s="158" t="str">
        <f>VLOOKUP(Q70,$B$6:$O$17,14,FALSE)</f>
        <v>€70848 - €141696</v>
      </c>
      <c r="V70" s="42">
        <f>ROUND((S70/$R$30)*100,0)</f>
        <v>26</v>
      </c>
      <c r="W70" s="9" t="s">
        <v>255</v>
      </c>
    </row>
    <row r="71" spans="1:23">
      <c r="A71" s="16" t="s">
        <v>182</v>
      </c>
      <c r="B71" s="10">
        <f>B69*B64</f>
        <v>750000</v>
      </c>
      <c r="C71" s="11" t="s">
        <v>66</v>
      </c>
      <c r="D71" s="10"/>
      <c r="E71" s="10"/>
      <c r="F71" s="10"/>
      <c r="G71" s="10"/>
      <c r="H71" s="10"/>
      <c r="I71" s="10"/>
      <c r="J71" s="10"/>
      <c r="K71" s="10"/>
      <c r="L71" s="10"/>
      <c r="M71" s="10"/>
      <c r="N71" s="11"/>
      <c r="O71" s="10"/>
      <c r="P71" s="10"/>
      <c r="Q71" s="28"/>
      <c r="R71" s="47"/>
      <c r="S71" s="28"/>
      <c r="U71" s="2"/>
      <c r="W71" s="10"/>
    </row>
    <row r="72" spans="1:23">
      <c r="A72" s="49" t="s">
        <v>183</v>
      </c>
      <c r="B72" s="8">
        <f>B69*B65</f>
        <v>1125000</v>
      </c>
      <c r="C72" s="9" t="s">
        <v>66</v>
      </c>
      <c r="D72" s="10"/>
      <c r="E72" s="10"/>
      <c r="F72" s="10"/>
      <c r="G72" s="10"/>
      <c r="H72" s="10"/>
      <c r="I72" s="10"/>
      <c r="J72" s="10"/>
      <c r="K72" s="10"/>
      <c r="L72" s="10"/>
      <c r="M72" s="10"/>
      <c r="N72" s="11"/>
      <c r="O72" s="10"/>
      <c r="P72" s="10"/>
      <c r="Q72" s="33" t="s">
        <v>302</v>
      </c>
      <c r="R72" s="31"/>
      <c r="S72" s="31"/>
      <c r="T72" s="31"/>
      <c r="U72" s="31"/>
      <c r="V72" s="30"/>
      <c r="W72" s="32"/>
    </row>
    <row r="73" spans="1:23">
      <c r="A73" s="120"/>
      <c r="B73" s="119"/>
      <c r="C73" s="10"/>
      <c r="D73" s="10"/>
      <c r="E73" s="10"/>
      <c r="F73" s="10"/>
      <c r="G73" s="10"/>
      <c r="H73" s="10"/>
      <c r="I73" s="10"/>
      <c r="J73" s="10"/>
      <c r="K73" s="10"/>
      <c r="L73" s="10"/>
      <c r="M73" s="10"/>
      <c r="N73" s="11"/>
      <c r="O73" s="10"/>
      <c r="P73" s="10"/>
      <c r="Q73" s="134" t="s">
        <v>210</v>
      </c>
      <c r="R73" s="134" t="s">
        <v>239</v>
      </c>
      <c r="S73" s="147" t="s">
        <v>109</v>
      </c>
      <c r="T73" s="141" t="s">
        <v>110</v>
      </c>
      <c r="U73" s="148" t="s">
        <v>223</v>
      </c>
      <c r="V73" s="141" t="s">
        <v>284</v>
      </c>
      <c r="W73" s="32" t="s">
        <v>259</v>
      </c>
    </row>
    <row r="74" spans="1:23">
      <c r="A74" s="12"/>
      <c r="B74" s="10"/>
      <c r="C74" s="10"/>
      <c r="D74" s="10"/>
      <c r="E74" s="10"/>
      <c r="F74" s="10"/>
      <c r="G74" s="10"/>
      <c r="H74" s="10"/>
      <c r="I74" s="10"/>
      <c r="J74" s="10"/>
      <c r="K74" s="10"/>
      <c r="L74" s="10"/>
      <c r="M74" s="10"/>
      <c r="N74" s="11"/>
      <c r="O74" s="10"/>
      <c r="P74" s="10"/>
      <c r="Q74" s="142" t="s">
        <v>213</v>
      </c>
      <c r="R74" s="60" t="s">
        <v>242</v>
      </c>
      <c r="S74" s="145">
        <f>VLOOKUP(Q74,$B$6:$O$17,9,FALSE)</f>
        <v>292</v>
      </c>
      <c r="T74" s="44" t="str">
        <f>VLOOKUP(Q74,$B$6:$O$17,10,FALSE)</f>
        <v>m2</v>
      </c>
      <c r="U74" s="6" t="str">
        <f>VLOOKUP(Q74,$B$6:$O$17,14,FALSE)</f>
        <v>€77490 - €132840</v>
      </c>
      <c r="V74" s="44">
        <f>ROUND((S74/$R$30)*100,0)</f>
        <v>11</v>
      </c>
      <c r="W74" s="11" t="s">
        <v>249</v>
      </c>
    </row>
    <row r="75" spans="1:23">
      <c r="A75" s="12"/>
      <c r="B75" s="10"/>
      <c r="C75" s="10"/>
      <c r="D75" s="10"/>
      <c r="E75" s="10"/>
      <c r="F75" s="10"/>
      <c r="G75" s="10"/>
      <c r="H75" s="10"/>
      <c r="I75" s="10"/>
      <c r="J75" s="10"/>
      <c r="K75" s="10"/>
      <c r="L75" s="10"/>
      <c r="M75" s="10"/>
      <c r="N75" s="11"/>
      <c r="O75" s="10"/>
      <c r="P75" s="10"/>
      <c r="Q75" s="142" t="s">
        <v>214</v>
      </c>
      <c r="R75" s="60" t="s">
        <v>242</v>
      </c>
      <c r="S75" s="40">
        <f t="shared" ref="S75:S81" si="6">VLOOKUP(Q75,$B$6:$O$17,9,FALSE)</f>
        <v>591</v>
      </c>
      <c r="T75" s="39" t="str">
        <f t="shared" ref="T75:T81" si="7">VLOOKUP(Q75,$B$6:$O$17,10,FALSE)</f>
        <v>stuks</v>
      </c>
      <c r="U75" s="11" t="str">
        <f t="shared" ref="U75:U81" si="8">VLOOKUP(Q75,$B$6:$O$17,14,FALSE)</f>
        <v>€59040 - €88560</v>
      </c>
      <c r="V75" s="39" t="s">
        <v>20</v>
      </c>
      <c r="W75" s="11" t="s">
        <v>252</v>
      </c>
    </row>
    <row r="76" spans="1:23">
      <c r="A76" s="80" t="s">
        <v>292</v>
      </c>
      <c r="B76" s="5"/>
      <c r="C76" s="5"/>
      <c r="D76" s="5"/>
      <c r="E76" s="79" t="s">
        <v>166</v>
      </c>
      <c r="F76" s="5"/>
      <c r="G76" s="5"/>
      <c r="H76" s="5"/>
      <c r="I76" s="5"/>
      <c r="J76" s="5"/>
      <c r="K76" s="5"/>
      <c r="L76" s="5"/>
      <c r="M76" s="5"/>
      <c r="N76" s="6"/>
      <c r="O76" s="10"/>
      <c r="P76" s="10"/>
      <c r="Q76" s="142" t="s">
        <v>215</v>
      </c>
      <c r="R76" s="60" t="s">
        <v>242</v>
      </c>
      <c r="S76" s="40">
        <f t="shared" si="6"/>
        <v>564</v>
      </c>
      <c r="T76" s="39" t="str">
        <f t="shared" si="7"/>
        <v>m2</v>
      </c>
      <c r="U76" s="11" t="str">
        <f t="shared" si="8"/>
        <v>€197326 - €197326</v>
      </c>
      <c r="V76" s="39">
        <f>ROUND((S76/$R$30)*100,0)</f>
        <v>21</v>
      </c>
      <c r="W76" s="11" t="s">
        <v>254</v>
      </c>
    </row>
    <row r="77" spans="1:23">
      <c r="A77" s="16" t="s">
        <v>28</v>
      </c>
      <c r="B77" s="10"/>
      <c r="C77" s="10"/>
      <c r="D77" s="10"/>
      <c r="E77" s="10" t="s">
        <v>155</v>
      </c>
      <c r="F77" s="10">
        <f>Reken!R7</f>
        <v>225</v>
      </c>
      <c r="G77" s="119" t="s">
        <v>3</v>
      </c>
      <c r="H77" s="10"/>
      <c r="I77" s="10"/>
      <c r="J77" s="10"/>
      <c r="K77" s="10"/>
      <c r="L77" s="10"/>
      <c r="M77" s="10"/>
      <c r="N77" s="11"/>
      <c r="O77" s="10"/>
      <c r="P77" s="10"/>
      <c r="Q77" s="142" t="s">
        <v>216</v>
      </c>
      <c r="R77" s="60" t="s">
        <v>240</v>
      </c>
      <c r="S77" s="40">
        <f t="shared" si="6"/>
        <v>156</v>
      </c>
      <c r="T77" s="39" t="str">
        <f t="shared" si="7"/>
        <v>m2</v>
      </c>
      <c r="U77" s="11" t="str">
        <f t="shared" si="8"/>
        <v>€30996 - €166050</v>
      </c>
      <c r="V77" s="39">
        <f>ROUND((S77/$R$30)*100,0)</f>
        <v>6</v>
      </c>
      <c r="W77" s="11" t="s">
        <v>251</v>
      </c>
    </row>
    <row r="78" spans="1:23">
      <c r="A78" s="12" t="s">
        <v>156</v>
      </c>
      <c r="B78" s="10">
        <f>Reken!R22</f>
        <v>2250</v>
      </c>
      <c r="C78" s="10" t="s">
        <v>2</v>
      </c>
      <c r="D78" s="10"/>
      <c r="E78" s="10"/>
      <c r="F78" s="10"/>
      <c r="G78" s="10"/>
      <c r="H78" s="10"/>
      <c r="I78" s="10"/>
      <c r="J78" s="10"/>
      <c r="K78" s="10"/>
      <c r="L78" s="10"/>
      <c r="M78" s="10"/>
      <c r="N78" s="11"/>
      <c r="O78" s="10"/>
      <c r="P78" s="10"/>
      <c r="Q78" s="142" t="s">
        <v>220</v>
      </c>
      <c r="R78" s="60" t="s">
        <v>244</v>
      </c>
      <c r="S78" s="40">
        <f t="shared" si="6"/>
        <v>7500</v>
      </c>
      <c r="T78" s="39" t="str">
        <f t="shared" si="7"/>
        <v>m2</v>
      </c>
      <c r="U78" s="11" t="str">
        <f t="shared" si="8"/>
        <v>€750000 - €1125000</v>
      </c>
      <c r="V78" s="39">
        <f>ROUND((S78/$R$22)*100,0)</f>
        <v>333</v>
      </c>
      <c r="W78" s="11" t="s">
        <v>278</v>
      </c>
    </row>
    <row r="79" spans="1:23">
      <c r="A79" s="170" t="s">
        <v>29</v>
      </c>
      <c r="B79" s="27">
        <v>0.1</v>
      </c>
      <c r="C79" s="23" t="s">
        <v>8</v>
      </c>
      <c r="D79" s="10"/>
      <c r="E79" s="10"/>
      <c r="F79" s="10"/>
      <c r="G79" s="10"/>
      <c r="H79" s="10"/>
      <c r="I79" s="10"/>
      <c r="J79" s="10"/>
      <c r="K79" s="10"/>
      <c r="L79" s="10"/>
      <c r="M79" s="10"/>
      <c r="N79" s="11"/>
      <c r="O79" s="10"/>
      <c r="P79" s="10"/>
      <c r="Q79" s="142" t="s">
        <v>221</v>
      </c>
      <c r="R79" s="60" t="s">
        <v>240</v>
      </c>
      <c r="S79" s="40">
        <f t="shared" si="6"/>
        <v>2250</v>
      </c>
      <c r="T79" s="39" t="str">
        <f t="shared" si="7"/>
        <v>m2</v>
      </c>
      <c r="U79" s="11" t="str">
        <f t="shared" si="8"/>
        <v>€450000 - €540000</v>
      </c>
      <c r="V79" s="39">
        <f>ROUND((S79/$R$22)*100,0)</f>
        <v>100</v>
      </c>
      <c r="W79" s="11" t="s">
        <v>246</v>
      </c>
    </row>
    <row r="80" spans="1:23">
      <c r="A80" s="12" t="s">
        <v>157</v>
      </c>
      <c r="B80" s="10">
        <f>B78*B79</f>
        <v>225</v>
      </c>
      <c r="C80" s="10" t="s">
        <v>3</v>
      </c>
      <c r="D80" s="10"/>
      <c r="E80" s="10"/>
      <c r="F80" s="10"/>
      <c r="G80" s="10"/>
      <c r="H80" s="10"/>
      <c r="I80" s="10"/>
      <c r="J80" s="10"/>
      <c r="K80" s="10"/>
      <c r="L80" s="10"/>
      <c r="M80" s="10"/>
      <c r="N80" s="11"/>
      <c r="O80" s="10"/>
      <c r="P80" s="10"/>
      <c r="Q80" s="142" t="s">
        <v>245</v>
      </c>
      <c r="R80" s="60" t="s">
        <v>240</v>
      </c>
      <c r="S80" s="40">
        <f t="shared" si="6"/>
        <v>2768</v>
      </c>
      <c r="T80" s="39" t="str">
        <f t="shared" si="7"/>
        <v>m2</v>
      </c>
      <c r="U80" s="11" t="str">
        <f t="shared" si="8"/>
        <v>€138375 - €415125</v>
      </c>
      <c r="V80" s="39">
        <f>ROUND((S80/$R$22)*100,0)</f>
        <v>123</v>
      </c>
      <c r="W80" s="11" t="s">
        <v>247</v>
      </c>
    </row>
    <row r="81" spans="1:23">
      <c r="A81" s="12"/>
      <c r="B81" s="10"/>
      <c r="C81" s="10"/>
      <c r="D81" s="10"/>
      <c r="E81" s="10"/>
      <c r="F81" s="10"/>
      <c r="G81" s="10"/>
      <c r="H81" s="10"/>
      <c r="I81" s="10"/>
      <c r="J81" s="10"/>
      <c r="K81" s="10"/>
      <c r="L81" s="10"/>
      <c r="M81" s="10"/>
      <c r="N81" s="11"/>
      <c r="O81" s="10"/>
      <c r="P81" s="10"/>
      <c r="Q81" s="143" t="s">
        <v>222</v>
      </c>
      <c r="R81" s="43" t="s">
        <v>244</v>
      </c>
      <c r="S81" s="41">
        <f t="shared" si="6"/>
        <v>750</v>
      </c>
      <c r="T81" s="42" t="str">
        <f t="shared" si="7"/>
        <v>stuks</v>
      </c>
      <c r="U81" s="9" t="str">
        <f t="shared" si="8"/>
        <v>€45000 - €112500</v>
      </c>
      <c r="V81" s="42" t="s">
        <v>20</v>
      </c>
      <c r="W81" s="9" t="s">
        <v>248</v>
      </c>
    </row>
    <row r="82" spans="1:23">
      <c r="A82" s="16"/>
      <c r="B82" s="10"/>
      <c r="C82" s="10"/>
      <c r="D82" s="10"/>
      <c r="E82" s="10"/>
      <c r="F82" s="10"/>
      <c r="G82" s="10"/>
      <c r="H82" s="10"/>
      <c r="I82" s="10"/>
      <c r="J82" s="10"/>
      <c r="K82" s="10"/>
      <c r="L82" s="10"/>
      <c r="M82" s="10"/>
      <c r="N82" s="11"/>
      <c r="O82" s="10"/>
      <c r="P82" s="10"/>
      <c r="W82" s="10"/>
    </row>
    <row r="83" spans="1:23">
      <c r="A83" s="13" t="s">
        <v>25</v>
      </c>
      <c r="B83" s="14"/>
      <c r="C83" s="15"/>
      <c r="D83" s="10"/>
      <c r="E83" s="10"/>
      <c r="F83" s="10"/>
      <c r="G83" s="10"/>
      <c r="H83" s="10"/>
      <c r="I83" s="10"/>
      <c r="J83" s="10"/>
      <c r="K83" s="10"/>
      <c r="L83" s="10"/>
      <c r="M83" s="10"/>
      <c r="N83" s="11"/>
      <c r="O83" s="10"/>
      <c r="P83" s="10"/>
      <c r="Q83" s="33" t="s">
        <v>303</v>
      </c>
      <c r="R83" s="31"/>
      <c r="S83" s="31"/>
      <c r="T83" s="31"/>
      <c r="U83" s="31"/>
      <c r="V83" s="30"/>
      <c r="W83" s="32"/>
    </row>
    <row r="84" spans="1:23">
      <c r="A84" s="16" t="s">
        <v>26</v>
      </c>
      <c r="B84" s="10">
        <f>$F$77</f>
        <v>225</v>
      </c>
      <c r="C84" s="11" t="s">
        <v>3</v>
      </c>
      <c r="D84" s="10"/>
      <c r="E84" s="10"/>
      <c r="F84" s="10"/>
      <c r="G84" s="10"/>
      <c r="H84" s="10"/>
      <c r="I84" s="10"/>
      <c r="J84" s="10"/>
      <c r="K84" s="10"/>
      <c r="L84" s="10"/>
      <c r="M84" s="10"/>
      <c r="N84" s="11"/>
      <c r="O84" s="10"/>
      <c r="P84" s="10"/>
      <c r="Q84" s="141" t="s">
        <v>210</v>
      </c>
      <c r="R84" s="135" t="s">
        <v>239</v>
      </c>
      <c r="S84" s="147" t="s">
        <v>109</v>
      </c>
      <c r="T84" s="141" t="s">
        <v>110</v>
      </c>
      <c r="U84" s="148" t="s">
        <v>223</v>
      </c>
      <c r="V84" s="141" t="s">
        <v>284</v>
      </c>
      <c r="W84" s="32" t="s">
        <v>259</v>
      </c>
    </row>
    <row r="85" spans="1:23">
      <c r="A85" s="21" t="s">
        <v>27</v>
      </c>
      <c r="B85" s="5">
        <f>C7</f>
        <v>230</v>
      </c>
      <c r="C85" s="6" t="s">
        <v>2</v>
      </c>
      <c r="D85" s="10"/>
      <c r="E85" s="10"/>
      <c r="F85" s="10"/>
      <c r="G85" s="10"/>
      <c r="H85" s="10"/>
      <c r="I85" s="10"/>
      <c r="J85" s="10"/>
      <c r="K85" s="10"/>
      <c r="L85" s="10"/>
      <c r="M85" s="10"/>
      <c r="N85" s="11"/>
      <c r="O85" s="10"/>
      <c r="P85" s="10"/>
      <c r="Q85" s="132" t="s">
        <v>216</v>
      </c>
      <c r="R85" s="58" t="s">
        <v>240</v>
      </c>
      <c r="S85" s="145">
        <f>VLOOKUP(Q85,$B$6:$O$17,9,FALSE)</f>
        <v>156</v>
      </c>
      <c r="T85" s="44" t="str">
        <f>VLOOKUP(Q85,$B$6:$O$17,10,FALSE)</f>
        <v>m2</v>
      </c>
      <c r="U85" s="6" t="str">
        <f>VLOOKUP(Q85,$B$6:$O$17,14,FALSE)</f>
        <v>€30996 - €166050</v>
      </c>
      <c r="V85" s="44">
        <f>ROUND((S85/$R$30)*100,0)</f>
        <v>6</v>
      </c>
      <c r="W85" s="11" t="s">
        <v>251</v>
      </c>
    </row>
    <row r="86" spans="1:23">
      <c r="A86" s="120" t="s">
        <v>186</v>
      </c>
      <c r="B86" s="10">
        <f>D7</f>
        <v>200</v>
      </c>
      <c r="C86" s="11" t="s">
        <v>2</v>
      </c>
      <c r="D86" s="10"/>
      <c r="E86" s="10"/>
      <c r="F86" s="10"/>
      <c r="G86" s="10"/>
      <c r="H86" s="10"/>
      <c r="I86" s="10"/>
      <c r="J86" s="10"/>
      <c r="K86" s="10"/>
      <c r="L86" s="10"/>
      <c r="M86" s="10"/>
      <c r="N86" s="11"/>
      <c r="O86" s="10"/>
      <c r="P86" s="10"/>
      <c r="Q86" s="132" t="s">
        <v>220</v>
      </c>
      <c r="R86" s="58" t="s">
        <v>244</v>
      </c>
      <c r="S86" s="40">
        <f t="shared" ref="S86:S89" si="9">VLOOKUP(Q86,$B$6:$O$17,9,FALSE)</f>
        <v>7500</v>
      </c>
      <c r="T86" s="39" t="str">
        <f t="shared" ref="T86:T89" si="10">VLOOKUP(Q86,$B$6:$O$17,10,FALSE)</f>
        <v>m2</v>
      </c>
      <c r="U86" s="11" t="str">
        <f t="shared" ref="U86:U89" si="11">VLOOKUP(Q86,$B$6:$O$17,14,FALSE)</f>
        <v>€750000 - €1125000</v>
      </c>
      <c r="V86" s="39">
        <f>ROUND((S86/$R$22)*100,0)</f>
        <v>333</v>
      </c>
      <c r="W86" s="11" t="s">
        <v>278</v>
      </c>
    </row>
    <row r="87" spans="1:23">
      <c r="A87" s="120" t="s">
        <v>187</v>
      </c>
      <c r="B87" s="10">
        <f>E7</f>
        <v>240</v>
      </c>
      <c r="C87" s="11" t="s">
        <v>2</v>
      </c>
      <c r="D87" s="10"/>
      <c r="E87" s="10"/>
      <c r="F87" s="10"/>
      <c r="G87" s="10"/>
      <c r="H87" s="10"/>
      <c r="I87" s="10"/>
      <c r="J87" s="10"/>
      <c r="K87" s="10"/>
      <c r="L87" s="10"/>
      <c r="M87" s="10"/>
      <c r="N87" s="11"/>
      <c r="O87" s="10"/>
      <c r="P87" s="10"/>
      <c r="Q87" s="132" t="s">
        <v>221</v>
      </c>
      <c r="R87" s="58" t="s">
        <v>240</v>
      </c>
      <c r="S87" s="40">
        <f t="shared" si="9"/>
        <v>2250</v>
      </c>
      <c r="T87" s="39" t="str">
        <f t="shared" si="10"/>
        <v>m2</v>
      </c>
      <c r="U87" s="11" t="str">
        <f t="shared" si="11"/>
        <v>€450000 - €540000</v>
      </c>
      <c r="V87" s="39">
        <f>ROUND((S87/$R$22)*100,0)</f>
        <v>100</v>
      </c>
      <c r="W87" s="11" t="s">
        <v>246</v>
      </c>
    </row>
    <row r="88" spans="1:23">
      <c r="A88" s="54" t="s">
        <v>18</v>
      </c>
      <c r="B88" s="8">
        <f>B92/B84</f>
        <v>2300</v>
      </c>
      <c r="C88" s="9" t="s">
        <v>66</v>
      </c>
      <c r="D88" s="10"/>
      <c r="E88" s="10"/>
      <c r="F88" s="10"/>
      <c r="G88" s="10"/>
      <c r="H88" s="10"/>
      <c r="I88" s="10"/>
      <c r="J88" s="10"/>
      <c r="K88" s="10"/>
      <c r="L88" s="10"/>
      <c r="M88" s="10"/>
      <c r="N88" s="11"/>
      <c r="O88" s="10"/>
      <c r="P88" s="10"/>
      <c r="Q88" s="132" t="s">
        <v>245</v>
      </c>
      <c r="R88" s="58" t="s">
        <v>240</v>
      </c>
      <c r="S88" s="40">
        <f t="shared" si="9"/>
        <v>2768</v>
      </c>
      <c r="T88" s="39" t="str">
        <f t="shared" si="10"/>
        <v>m2</v>
      </c>
      <c r="U88" s="11" t="str">
        <f t="shared" si="11"/>
        <v>€138375 - €415125</v>
      </c>
      <c r="V88" s="39">
        <f>ROUND((S88/$R$22)*100,0)</f>
        <v>123</v>
      </c>
      <c r="W88" s="11" t="s">
        <v>247</v>
      </c>
    </row>
    <row r="89" spans="1:23">
      <c r="A89" s="21" t="s">
        <v>71</v>
      </c>
      <c r="B89" s="5">
        <f>H7</f>
        <v>0</v>
      </c>
      <c r="C89" s="6" t="s">
        <v>2</v>
      </c>
      <c r="D89" s="10"/>
      <c r="E89" s="10"/>
      <c r="F89" s="10"/>
      <c r="G89" s="10"/>
      <c r="H89" s="10"/>
      <c r="I89" s="10"/>
      <c r="J89" s="10"/>
      <c r="K89" s="10"/>
      <c r="L89" s="10"/>
      <c r="M89" s="10"/>
      <c r="N89" s="11"/>
      <c r="O89" s="10"/>
      <c r="P89" s="10"/>
      <c r="Q89" s="133" t="s">
        <v>222</v>
      </c>
      <c r="R89" s="144" t="s">
        <v>244</v>
      </c>
      <c r="S89" s="41">
        <f t="shared" si="9"/>
        <v>750</v>
      </c>
      <c r="T89" s="42" t="str">
        <f t="shared" si="10"/>
        <v>stuks</v>
      </c>
      <c r="U89" s="9" t="str">
        <f t="shared" si="11"/>
        <v>€45000 - €112500</v>
      </c>
      <c r="V89" s="42" t="s">
        <v>20</v>
      </c>
      <c r="W89" s="9" t="s">
        <v>248</v>
      </c>
    </row>
    <row r="90" spans="1:23">
      <c r="A90" s="54" t="s">
        <v>72</v>
      </c>
      <c r="B90" s="8">
        <f>B89*B91</f>
        <v>0</v>
      </c>
      <c r="C90" s="9" t="s">
        <v>66</v>
      </c>
      <c r="D90" s="10"/>
      <c r="E90" s="10"/>
      <c r="F90" s="10"/>
      <c r="G90" s="10"/>
      <c r="H90" s="10"/>
      <c r="I90" s="10"/>
      <c r="J90" s="10"/>
      <c r="K90" s="10"/>
      <c r="L90" s="10"/>
      <c r="M90" s="10"/>
      <c r="N90" s="11"/>
      <c r="O90" s="10"/>
      <c r="P90" s="10"/>
      <c r="Q90" s="10"/>
    </row>
    <row r="91" spans="1:23">
      <c r="A91" s="16" t="s">
        <v>153</v>
      </c>
      <c r="B91" s="10">
        <f>(B84/B79)</f>
        <v>2250</v>
      </c>
      <c r="C91" s="58" t="s">
        <v>2</v>
      </c>
      <c r="D91" s="10"/>
      <c r="E91" s="10"/>
      <c r="F91" s="10"/>
      <c r="G91" s="10"/>
      <c r="H91" s="10"/>
      <c r="I91" s="10"/>
      <c r="J91" s="10"/>
      <c r="K91" s="10"/>
      <c r="L91" s="10"/>
      <c r="M91" s="10"/>
      <c r="N91" s="11"/>
      <c r="O91" s="10"/>
      <c r="P91" s="10"/>
      <c r="Q91" s="28"/>
      <c r="T91" s="28"/>
      <c r="U91" s="28"/>
      <c r="V91" s="28"/>
    </row>
    <row r="92" spans="1:23">
      <c r="A92" s="121" t="s">
        <v>160</v>
      </c>
      <c r="B92" s="5">
        <f>B91*B85</f>
        <v>517500</v>
      </c>
      <c r="C92" s="6" t="s">
        <v>66</v>
      </c>
      <c r="D92" s="10"/>
      <c r="E92" s="10"/>
      <c r="F92" s="10"/>
      <c r="G92" s="10"/>
      <c r="H92" s="10"/>
      <c r="I92" s="10"/>
      <c r="J92" s="10"/>
      <c r="K92" s="10"/>
      <c r="L92" s="10"/>
      <c r="M92" s="10"/>
      <c r="N92" s="11"/>
      <c r="O92" s="10"/>
      <c r="P92" s="10"/>
      <c r="Q92" s="28"/>
    </row>
    <row r="93" spans="1:23">
      <c r="A93" s="16" t="s">
        <v>182</v>
      </c>
      <c r="B93" s="10">
        <f>B91*B86</f>
        <v>450000</v>
      </c>
      <c r="C93" s="11" t="s">
        <v>66</v>
      </c>
      <c r="D93" s="10"/>
      <c r="E93" s="10"/>
      <c r="F93" s="10"/>
      <c r="G93" s="10"/>
      <c r="H93" s="10"/>
      <c r="I93" s="10"/>
      <c r="J93" s="10"/>
      <c r="K93" s="10"/>
      <c r="L93" s="10"/>
      <c r="M93" s="10"/>
      <c r="N93" s="11"/>
      <c r="O93" s="10"/>
      <c r="P93" s="10"/>
      <c r="Q93" s="10"/>
    </row>
    <row r="94" spans="1:23">
      <c r="A94" s="49" t="s">
        <v>183</v>
      </c>
      <c r="B94" s="8">
        <f>B91*B87</f>
        <v>540000</v>
      </c>
      <c r="C94" s="9" t="s">
        <v>66</v>
      </c>
      <c r="D94" s="10"/>
      <c r="E94" s="10"/>
      <c r="F94" s="10"/>
      <c r="G94" s="10"/>
      <c r="H94" s="10"/>
      <c r="I94" s="10"/>
      <c r="J94" s="10"/>
      <c r="K94" s="10"/>
      <c r="L94" s="10"/>
      <c r="M94" s="10"/>
      <c r="N94" s="11"/>
      <c r="O94" s="10"/>
      <c r="P94" s="10"/>
      <c r="Q94" s="10"/>
      <c r="S94" s="10"/>
    </row>
    <row r="95" spans="1:23">
      <c r="A95" s="16"/>
      <c r="B95" s="10"/>
      <c r="C95" s="28"/>
      <c r="D95" s="10"/>
      <c r="E95" s="10"/>
      <c r="F95" s="10"/>
      <c r="G95" s="10"/>
      <c r="H95" s="10"/>
      <c r="I95" s="10"/>
      <c r="J95" s="10"/>
      <c r="K95" s="10"/>
      <c r="L95" s="10"/>
      <c r="M95" s="10"/>
      <c r="N95" s="11"/>
      <c r="O95" s="10"/>
      <c r="P95" s="10"/>
      <c r="Q95" s="10"/>
      <c r="S95" s="10"/>
    </row>
    <row r="96" spans="1:23">
      <c r="A96" s="120"/>
      <c r="B96" s="119"/>
      <c r="C96" s="10"/>
      <c r="D96" s="10"/>
      <c r="E96" s="10"/>
      <c r="F96" s="10"/>
      <c r="G96" s="10"/>
      <c r="H96" s="10"/>
      <c r="I96" s="10"/>
      <c r="J96" s="10"/>
      <c r="K96" s="10"/>
      <c r="L96" s="10"/>
      <c r="M96" s="10"/>
      <c r="N96" s="11"/>
      <c r="O96" s="10"/>
      <c r="P96" s="10"/>
      <c r="Q96" s="10"/>
      <c r="S96" s="10"/>
    </row>
    <row r="97" spans="1:27">
      <c r="A97" s="12"/>
      <c r="B97" s="10"/>
      <c r="C97" s="10"/>
      <c r="D97" s="10"/>
      <c r="E97" s="10"/>
      <c r="F97" s="10"/>
      <c r="G97" s="10"/>
      <c r="H97" s="10"/>
      <c r="I97" s="10"/>
      <c r="J97" s="10"/>
      <c r="K97" s="10"/>
      <c r="L97" s="10"/>
      <c r="M97" s="10"/>
      <c r="N97" s="11"/>
      <c r="O97" s="10"/>
      <c r="P97" s="10"/>
      <c r="Q97" s="10"/>
      <c r="S97" s="10"/>
    </row>
    <row r="98" spans="1:27">
      <c r="A98" s="12"/>
      <c r="B98" s="10"/>
      <c r="C98" s="10"/>
      <c r="D98" s="10"/>
      <c r="E98" s="10"/>
      <c r="F98" s="10"/>
      <c r="G98" s="10"/>
      <c r="H98" s="10"/>
      <c r="I98" s="10"/>
      <c r="J98" s="10"/>
      <c r="K98" s="10"/>
      <c r="L98" s="10"/>
      <c r="M98" s="10"/>
      <c r="N98" s="11"/>
      <c r="O98" s="10"/>
      <c r="P98" s="10"/>
      <c r="Q98" s="10"/>
      <c r="S98" s="10"/>
    </row>
    <row r="99" spans="1:27">
      <c r="A99" s="80" t="s">
        <v>293</v>
      </c>
      <c r="B99" s="5"/>
      <c r="C99" s="5"/>
      <c r="D99" s="5"/>
      <c r="E99" s="79" t="s">
        <v>166</v>
      </c>
      <c r="F99" s="5"/>
      <c r="G99" s="5"/>
      <c r="H99" s="5"/>
      <c r="I99" s="5"/>
      <c r="J99" s="5"/>
      <c r="K99" s="5"/>
      <c r="L99" s="5"/>
      <c r="M99" s="5"/>
      <c r="N99" s="6"/>
      <c r="O99" s="10"/>
      <c r="P99" s="10"/>
      <c r="Q99" s="10"/>
      <c r="S99" s="10"/>
      <c r="T99" s="10"/>
    </row>
    <row r="100" spans="1:27">
      <c r="A100" s="16" t="s">
        <v>30</v>
      </c>
      <c r="B100" s="10"/>
      <c r="C100" s="10"/>
      <c r="D100" s="10"/>
      <c r="E100" s="10" t="s">
        <v>155</v>
      </c>
      <c r="F100" s="10">
        <f>Reken!R7</f>
        <v>225</v>
      </c>
      <c r="G100" s="10" t="s">
        <v>3</v>
      </c>
      <c r="H100" s="10"/>
      <c r="I100" s="10"/>
      <c r="J100" s="10"/>
      <c r="K100" s="10"/>
      <c r="L100" s="10"/>
      <c r="M100" s="10"/>
      <c r="N100" s="11"/>
      <c r="O100" s="10"/>
      <c r="P100" s="10"/>
      <c r="Q100" s="10"/>
      <c r="S100" s="10"/>
      <c r="T100" s="10"/>
      <c r="U100" s="10"/>
      <c r="V100" s="10"/>
      <c r="W100" s="10"/>
      <c r="X100" s="10"/>
      <c r="Y100" s="10"/>
      <c r="Z100" s="10"/>
      <c r="AA100" s="10"/>
    </row>
    <row r="101" spans="1:27">
      <c r="A101" s="12" t="s">
        <v>156</v>
      </c>
      <c r="B101" s="10">
        <f>Reken!R22</f>
        <v>2250</v>
      </c>
      <c r="C101" s="10" t="s">
        <v>2</v>
      </c>
      <c r="D101" s="10"/>
      <c r="E101" s="10"/>
      <c r="F101" s="10"/>
      <c r="G101" s="10"/>
      <c r="H101" s="10"/>
      <c r="I101" s="10"/>
      <c r="J101" s="10"/>
      <c r="K101" s="10"/>
      <c r="L101" s="10"/>
      <c r="M101" s="10"/>
      <c r="N101" s="11"/>
      <c r="O101" s="10"/>
      <c r="P101" s="10"/>
      <c r="Q101" s="10"/>
      <c r="S101" s="10"/>
      <c r="T101" s="10"/>
      <c r="U101" s="10"/>
      <c r="V101" s="10"/>
      <c r="W101" s="10"/>
      <c r="X101" s="10"/>
      <c r="Y101" s="10"/>
      <c r="Z101" s="10"/>
      <c r="AA101" s="10"/>
    </row>
    <row r="102" spans="1:27">
      <c r="A102" s="171" t="s">
        <v>22</v>
      </c>
      <c r="B102" s="24">
        <v>0.1</v>
      </c>
      <c r="C102" s="17" t="s">
        <v>8</v>
      </c>
      <c r="D102" s="10"/>
      <c r="E102" s="10"/>
      <c r="F102" s="10"/>
      <c r="G102" s="10"/>
      <c r="H102" s="10"/>
      <c r="I102" s="10"/>
      <c r="J102" s="10"/>
      <c r="K102" s="10"/>
      <c r="L102" s="10"/>
      <c r="M102" s="10"/>
      <c r="N102" s="11"/>
      <c r="O102" s="10"/>
      <c r="P102" s="10"/>
      <c r="Q102" s="10"/>
      <c r="S102" s="10"/>
      <c r="T102" s="10"/>
      <c r="U102" s="10"/>
      <c r="V102" s="10"/>
      <c r="W102" s="10"/>
      <c r="X102" s="10"/>
      <c r="Y102" s="10"/>
      <c r="Z102" s="10"/>
      <c r="AA102" s="10"/>
    </row>
    <row r="103" spans="1:27">
      <c r="A103" s="172" t="s">
        <v>31</v>
      </c>
      <c r="B103" s="26">
        <v>0.05</v>
      </c>
      <c r="C103" s="19" t="s">
        <v>8</v>
      </c>
      <c r="D103" s="10"/>
      <c r="E103" s="10"/>
      <c r="F103" s="10"/>
      <c r="G103" s="10"/>
      <c r="H103" s="10"/>
      <c r="I103" s="10"/>
      <c r="J103" s="10"/>
      <c r="K103" s="10"/>
      <c r="L103" s="10"/>
      <c r="M103" s="10"/>
      <c r="N103" s="11"/>
      <c r="O103" s="10"/>
      <c r="P103" s="10"/>
      <c r="Q103" s="10"/>
      <c r="S103" s="10"/>
      <c r="T103" s="10"/>
      <c r="U103" s="10"/>
      <c r="V103" s="10"/>
      <c r="W103" s="10"/>
      <c r="X103" s="10"/>
      <c r="Y103" s="10"/>
      <c r="Z103" s="10"/>
      <c r="AA103" s="10"/>
    </row>
    <row r="104" spans="1:27">
      <c r="A104" s="12" t="s">
        <v>32</v>
      </c>
      <c r="B104" s="10">
        <f>B101*B103</f>
        <v>112.5</v>
      </c>
      <c r="C104" s="10" t="s">
        <v>3</v>
      </c>
      <c r="D104" s="10"/>
      <c r="E104" s="10"/>
      <c r="F104" s="10"/>
      <c r="G104" s="10"/>
      <c r="H104" s="10"/>
      <c r="I104" s="10"/>
      <c r="J104" s="10"/>
      <c r="K104" s="10"/>
      <c r="L104" s="10"/>
      <c r="M104" s="10"/>
      <c r="N104" s="11"/>
      <c r="O104" s="10"/>
      <c r="P104" s="10"/>
      <c r="Q104" s="10"/>
      <c r="R104" s="10"/>
      <c r="S104" s="10"/>
      <c r="T104" s="10"/>
      <c r="U104" s="10"/>
      <c r="V104" s="10"/>
      <c r="W104" s="10"/>
      <c r="X104" s="10"/>
      <c r="Y104" s="10"/>
      <c r="Z104" s="10"/>
      <c r="AA104" s="10"/>
    </row>
    <row r="105" spans="1:27">
      <c r="A105" s="12" t="s">
        <v>23</v>
      </c>
      <c r="B105" s="10">
        <f>B101*B102*B106</f>
        <v>67.5</v>
      </c>
      <c r="C105" s="10" t="s">
        <v>3</v>
      </c>
      <c r="D105" s="10"/>
      <c r="E105" s="10"/>
      <c r="F105" s="10"/>
      <c r="G105" s="10"/>
      <c r="H105" s="10"/>
      <c r="I105" s="10"/>
      <c r="J105" s="10"/>
      <c r="K105" s="10"/>
      <c r="L105" s="10"/>
      <c r="M105" s="10"/>
      <c r="N105" s="11"/>
      <c r="O105" s="10"/>
      <c r="P105" s="10"/>
      <c r="Q105" s="10"/>
      <c r="R105" s="10"/>
      <c r="S105" s="10"/>
      <c r="T105" s="10"/>
      <c r="U105" s="10"/>
      <c r="V105" s="10"/>
      <c r="W105" s="10"/>
      <c r="X105" s="10"/>
      <c r="Y105" s="10"/>
      <c r="Z105" s="10"/>
      <c r="AA105" s="10"/>
    </row>
    <row r="106" spans="1:27">
      <c r="A106" s="34" t="s">
        <v>24</v>
      </c>
      <c r="B106" s="35">
        <v>0.3</v>
      </c>
      <c r="C106" s="15" t="s">
        <v>20</v>
      </c>
      <c r="D106" s="10"/>
      <c r="E106" s="10"/>
      <c r="F106" s="10"/>
      <c r="G106" s="10"/>
      <c r="H106" s="10"/>
      <c r="I106" s="10"/>
      <c r="J106" s="10"/>
      <c r="K106" s="10"/>
      <c r="L106" s="10"/>
      <c r="M106" s="10"/>
      <c r="N106" s="11"/>
      <c r="O106" s="10"/>
      <c r="P106" s="10"/>
      <c r="Q106" s="10"/>
      <c r="R106" s="10"/>
      <c r="S106" s="10"/>
      <c r="T106" s="10"/>
      <c r="U106" s="10"/>
      <c r="V106" s="10"/>
      <c r="W106" s="10"/>
      <c r="X106" s="10"/>
      <c r="Y106" s="10"/>
      <c r="Z106" s="10"/>
      <c r="AA106" s="10"/>
    </row>
    <row r="107" spans="1:27">
      <c r="A107" s="173" t="s">
        <v>158</v>
      </c>
      <c r="B107" s="10">
        <f>B104+B105</f>
        <v>180</v>
      </c>
      <c r="C107" s="119" t="s">
        <v>3</v>
      </c>
      <c r="D107" s="10"/>
      <c r="E107" s="10"/>
      <c r="F107" s="10"/>
      <c r="G107" s="10"/>
      <c r="H107" s="10"/>
      <c r="I107" s="10"/>
      <c r="J107" s="10"/>
      <c r="K107" s="10"/>
      <c r="L107" s="10"/>
      <c r="M107" s="10"/>
      <c r="N107" s="11"/>
      <c r="O107" s="10"/>
      <c r="P107" s="10"/>
      <c r="Q107" s="10"/>
      <c r="R107" s="10"/>
      <c r="S107" s="10"/>
      <c r="T107" s="10"/>
      <c r="U107" s="10"/>
      <c r="V107" s="10"/>
      <c r="W107" s="10"/>
      <c r="X107" s="10"/>
      <c r="Y107" s="10"/>
      <c r="Z107" s="10"/>
      <c r="AA107" s="10"/>
    </row>
    <row r="108" spans="1:27">
      <c r="A108" s="12"/>
      <c r="B108" s="10"/>
      <c r="C108" s="10"/>
      <c r="D108" s="10"/>
      <c r="E108" s="10"/>
      <c r="F108" s="10"/>
      <c r="G108" s="10"/>
      <c r="H108" s="10"/>
      <c r="I108" s="10"/>
      <c r="J108" s="10"/>
      <c r="K108" s="10"/>
      <c r="L108" s="10"/>
      <c r="M108" s="10"/>
      <c r="N108" s="11"/>
      <c r="O108" s="10"/>
      <c r="P108" s="10"/>
      <c r="Q108" s="10"/>
      <c r="R108" s="10"/>
      <c r="S108" s="10"/>
      <c r="T108" s="10"/>
      <c r="U108" s="10"/>
      <c r="V108" s="10"/>
      <c r="W108" s="10"/>
      <c r="X108" s="10"/>
      <c r="Y108" s="10"/>
      <c r="Z108" s="10"/>
      <c r="AA108" s="10"/>
    </row>
    <row r="109" spans="1:27">
      <c r="A109" s="12"/>
      <c r="B109" s="10"/>
      <c r="C109" s="10"/>
      <c r="D109" s="10"/>
      <c r="E109" s="10"/>
      <c r="F109" s="10"/>
      <c r="G109" s="10"/>
      <c r="H109" s="10"/>
      <c r="I109" s="10"/>
      <c r="J109" s="10"/>
      <c r="K109" s="10"/>
      <c r="L109" s="10"/>
      <c r="M109" s="10"/>
      <c r="N109" s="11"/>
      <c r="O109" s="10"/>
      <c r="P109" s="10"/>
      <c r="Q109" s="10"/>
      <c r="R109" s="10"/>
      <c r="S109" s="10"/>
      <c r="T109" s="10"/>
      <c r="U109" s="10"/>
      <c r="V109" s="10"/>
      <c r="W109" s="10"/>
      <c r="X109" s="10"/>
      <c r="Y109" s="10"/>
      <c r="Z109" s="10"/>
      <c r="AA109" s="10"/>
    </row>
    <row r="110" spans="1:27">
      <c r="A110" s="13" t="s">
        <v>25</v>
      </c>
      <c r="B110" s="14"/>
      <c r="C110" s="15"/>
      <c r="D110" s="10"/>
      <c r="E110" s="10"/>
      <c r="F110" s="10"/>
      <c r="G110" s="10"/>
      <c r="H110" s="10"/>
      <c r="I110" s="10"/>
      <c r="J110" s="10"/>
      <c r="K110" s="10"/>
      <c r="L110" s="10"/>
      <c r="M110" s="10"/>
      <c r="N110" s="11"/>
      <c r="O110" s="10"/>
      <c r="P110" s="10"/>
      <c r="Q110" s="10"/>
      <c r="R110" s="10"/>
      <c r="S110" s="10"/>
      <c r="T110" s="10"/>
      <c r="U110" s="10"/>
      <c r="V110" s="10"/>
      <c r="W110" s="10"/>
      <c r="X110" s="10"/>
      <c r="Y110" s="10"/>
      <c r="Z110" s="10"/>
      <c r="AA110" s="10"/>
    </row>
    <row r="111" spans="1:27">
      <c r="A111" s="16" t="s">
        <v>26</v>
      </c>
      <c r="B111" s="10">
        <f>$F$194</f>
        <v>221.4</v>
      </c>
      <c r="C111" s="11" t="s">
        <v>3</v>
      </c>
      <c r="D111" s="10"/>
      <c r="E111" s="10"/>
      <c r="F111" s="10"/>
      <c r="G111" s="10"/>
      <c r="H111" s="10"/>
      <c r="I111" s="10"/>
      <c r="J111" s="10"/>
      <c r="K111" s="10"/>
      <c r="L111" s="10"/>
      <c r="M111" s="10"/>
      <c r="N111" s="11"/>
      <c r="O111" s="10"/>
      <c r="P111" s="10"/>
      <c r="Q111" s="10"/>
      <c r="R111" s="10"/>
      <c r="S111" s="10"/>
      <c r="T111" s="10"/>
      <c r="U111" s="10"/>
      <c r="V111" s="10"/>
      <c r="W111" s="10"/>
      <c r="X111" s="10"/>
      <c r="Y111" s="10"/>
      <c r="Z111" s="10"/>
      <c r="AA111" s="10"/>
    </row>
    <row r="112" spans="1:27">
      <c r="A112" s="21" t="s">
        <v>27</v>
      </c>
      <c r="B112" s="5">
        <f>C8</f>
        <v>100</v>
      </c>
      <c r="C112" s="6" t="s">
        <v>2</v>
      </c>
      <c r="D112" s="10"/>
      <c r="E112" s="10"/>
      <c r="F112" s="10"/>
      <c r="G112" s="10"/>
      <c r="H112" s="10"/>
      <c r="I112" s="10"/>
      <c r="J112" s="10"/>
      <c r="K112" s="10"/>
      <c r="L112" s="10"/>
      <c r="M112" s="10"/>
      <c r="N112" s="11"/>
      <c r="O112" s="10"/>
      <c r="P112" s="10"/>
      <c r="Q112" s="10"/>
      <c r="R112" s="10"/>
      <c r="S112" s="10"/>
      <c r="T112" s="10"/>
      <c r="U112" s="10"/>
      <c r="V112" s="10"/>
      <c r="W112" s="10"/>
      <c r="X112" s="10"/>
      <c r="Y112" s="10"/>
      <c r="Z112" s="10"/>
      <c r="AA112" s="10"/>
    </row>
    <row r="113" spans="1:27">
      <c r="A113" s="120" t="s">
        <v>186</v>
      </c>
      <c r="B113" s="10">
        <f>D8</f>
        <v>50</v>
      </c>
      <c r="C113" s="11" t="s">
        <v>2</v>
      </c>
      <c r="D113" s="10"/>
      <c r="E113" s="10"/>
      <c r="F113" s="10"/>
      <c r="G113" s="10"/>
      <c r="H113" s="10"/>
      <c r="I113" s="10"/>
      <c r="J113" s="10"/>
      <c r="K113" s="10"/>
      <c r="L113" s="10"/>
      <c r="M113" s="10"/>
      <c r="N113" s="11"/>
      <c r="O113" s="10"/>
      <c r="P113" s="10"/>
      <c r="Q113" s="10"/>
      <c r="R113" s="10"/>
      <c r="S113" s="10"/>
      <c r="T113" s="10"/>
      <c r="U113" s="10"/>
      <c r="V113" s="10"/>
      <c r="W113" s="10"/>
      <c r="X113" s="10"/>
      <c r="Y113" s="10"/>
      <c r="Z113" s="10"/>
      <c r="AA113" s="10"/>
    </row>
    <row r="114" spans="1:27">
      <c r="A114" s="120" t="s">
        <v>187</v>
      </c>
      <c r="B114" s="10">
        <f>E8</f>
        <v>150</v>
      </c>
      <c r="C114" s="11" t="s">
        <v>2</v>
      </c>
      <c r="D114" s="10"/>
      <c r="E114" s="10"/>
      <c r="F114" s="10"/>
      <c r="G114" s="10"/>
      <c r="H114" s="10"/>
      <c r="I114" s="10"/>
      <c r="J114" s="10"/>
      <c r="K114" s="10"/>
      <c r="L114" s="10"/>
      <c r="M114" s="10"/>
      <c r="N114" s="11"/>
      <c r="O114" s="10"/>
      <c r="P114" s="10"/>
      <c r="Q114" s="10"/>
      <c r="R114" s="10"/>
      <c r="S114" s="10"/>
      <c r="T114" s="10"/>
      <c r="U114" s="10"/>
      <c r="V114" s="10"/>
      <c r="W114" s="10"/>
      <c r="X114" s="10"/>
      <c r="Y114" s="10"/>
      <c r="Z114" s="10"/>
      <c r="AA114" s="10"/>
    </row>
    <row r="115" spans="1:27">
      <c r="A115" s="54" t="s">
        <v>18</v>
      </c>
      <c r="B115" s="8">
        <f>B119/B111</f>
        <v>1250</v>
      </c>
      <c r="C115" s="9" t="s">
        <v>66</v>
      </c>
      <c r="D115" s="10"/>
      <c r="E115" s="118"/>
      <c r="F115" s="118"/>
      <c r="G115" s="118"/>
      <c r="H115" s="10"/>
      <c r="I115" s="10"/>
      <c r="J115" s="10"/>
      <c r="K115" s="10"/>
      <c r="L115" s="10"/>
      <c r="M115" s="10"/>
      <c r="N115" s="11"/>
      <c r="O115" s="10"/>
      <c r="P115" s="10"/>
      <c r="Q115" s="10"/>
      <c r="R115" s="10"/>
      <c r="S115" s="10"/>
      <c r="T115" s="10"/>
      <c r="U115" s="10"/>
      <c r="V115" s="10"/>
      <c r="W115" s="10"/>
      <c r="X115" s="10"/>
      <c r="Y115" s="10"/>
      <c r="Z115" s="10"/>
      <c r="AA115" s="10"/>
    </row>
    <row r="116" spans="1:27">
      <c r="A116" s="21" t="s">
        <v>71</v>
      </c>
      <c r="B116" s="5">
        <f>H8</f>
        <v>4.8</v>
      </c>
      <c r="C116" s="6" t="s">
        <v>2</v>
      </c>
      <c r="D116" s="10"/>
      <c r="E116" s="10"/>
      <c r="F116" s="10"/>
      <c r="G116" s="10"/>
      <c r="H116" s="10"/>
      <c r="I116" s="10"/>
      <c r="J116" s="10"/>
      <c r="K116" s="10"/>
      <c r="L116" s="10"/>
      <c r="M116" s="10"/>
      <c r="N116" s="11"/>
      <c r="O116" s="10"/>
      <c r="P116" s="10"/>
      <c r="Q116" s="10"/>
      <c r="R116" s="10"/>
      <c r="S116" s="10"/>
      <c r="T116" s="10"/>
      <c r="U116" s="10"/>
      <c r="V116" s="10"/>
      <c r="W116" s="10"/>
      <c r="X116" s="10"/>
      <c r="Y116" s="10"/>
      <c r="Z116" s="10"/>
      <c r="AA116" s="10"/>
    </row>
    <row r="117" spans="1:27">
      <c r="A117" s="54" t="s">
        <v>72</v>
      </c>
      <c r="B117" s="8">
        <f>B116*B118</f>
        <v>13284</v>
      </c>
      <c r="C117" s="9" t="s">
        <v>66</v>
      </c>
      <c r="D117" s="10"/>
      <c r="E117" s="10"/>
      <c r="F117" s="10"/>
      <c r="G117" s="10"/>
      <c r="H117" s="10"/>
      <c r="I117" s="10"/>
      <c r="J117" s="10"/>
      <c r="K117" s="10"/>
      <c r="L117" s="10"/>
      <c r="M117" s="10"/>
      <c r="N117" s="11"/>
      <c r="O117" s="10"/>
      <c r="P117" s="10"/>
      <c r="Q117" s="10"/>
      <c r="R117" s="10"/>
      <c r="S117" s="10"/>
      <c r="T117" s="10"/>
      <c r="U117" s="10"/>
      <c r="V117" s="10"/>
      <c r="W117" s="10"/>
      <c r="X117" s="10"/>
      <c r="Y117" s="10"/>
      <c r="Z117" s="10"/>
      <c r="AA117" s="10"/>
    </row>
    <row r="118" spans="1:27">
      <c r="A118" s="16" t="s">
        <v>153</v>
      </c>
      <c r="B118" s="10">
        <f>B111/(B103+(B102*B106))</f>
        <v>2767.5</v>
      </c>
      <c r="C118" s="58" t="s">
        <v>2</v>
      </c>
      <c r="D118" s="10"/>
      <c r="E118" s="10"/>
      <c r="F118" s="10"/>
      <c r="G118" s="10"/>
      <c r="H118" s="10"/>
      <c r="I118" s="10"/>
      <c r="J118" s="10"/>
      <c r="K118" s="10"/>
      <c r="L118" s="10"/>
      <c r="M118" s="10"/>
      <c r="N118" s="11"/>
      <c r="O118" s="10"/>
      <c r="P118" s="10"/>
      <c r="Q118" s="10"/>
      <c r="R118" s="10"/>
      <c r="S118" s="10"/>
      <c r="T118" s="10"/>
      <c r="U118" s="10"/>
      <c r="V118" s="10"/>
      <c r="W118" s="10"/>
      <c r="X118" s="10"/>
      <c r="Y118" s="10"/>
      <c r="Z118" s="10"/>
      <c r="AA118" s="10"/>
    </row>
    <row r="119" spans="1:27">
      <c r="A119" s="121" t="s">
        <v>160</v>
      </c>
      <c r="B119" s="5">
        <f>B118*B112</f>
        <v>276750</v>
      </c>
      <c r="C119" s="6" t="s">
        <v>66</v>
      </c>
      <c r="D119" s="10"/>
      <c r="E119" s="10"/>
      <c r="F119" s="10"/>
      <c r="G119" s="10"/>
      <c r="H119" s="10"/>
      <c r="I119" s="10"/>
      <c r="J119" s="10"/>
      <c r="K119" s="10"/>
      <c r="L119" s="10"/>
      <c r="M119" s="10"/>
      <c r="N119" s="11"/>
      <c r="O119" s="10"/>
      <c r="P119" s="10"/>
      <c r="Q119" s="10"/>
      <c r="R119" s="10"/>
      <c r="S119" s="10"/>
      <c r="T119" s="10"/>
      <c r="U119" s="10"/>
      <c r="V119" s="10"/>
      <c r="W119" s="10"/>
      <c r="X119" s="10"/>
      <c r="Y119" s="10"/>
      <c r="Z119" s="10"/>
      <c r="AA119" s="10"/>
    </row>
    <row r="120" spans="1:27">
      <c r="A120" s="16" t="s">
        <v>182</v>
      </c>
      <c r="B120" s="10">
        <f>B118*B113</f>
        <v>138375</v>
      </c>
      <c r="C120" s="11" t="s">
        <v>66</v>
      </c>
      <c r="D120" s="10"/>
      <c r="E120" s="10"/>
      <c r="F120" s="10"/>
      <c r="G120" s="10"/>
      <c r="H120" s="10"/>
      <c r="I120" s="10"/>
      <c r="J120" s="10"/>
      <c r="K120" s="10"/>
      <c r="L120" s="10"/>
      <c r="M120" s="10"/>
      <c r="N120" s="11"/>
      <c r="O120" s="10"/>
      <c r="P120" s="10"/>
      <c r="Q120" s="10"/>
      <c r="R120" s="10"/>
      <c r="S120" s="10"/>
      <c r="T120" s="10"/>
      <c r="U120" s="10"/>
      <c r="V120" s="10"/>
      <c r="W120" s="10"/>
      <c r="X120" s="10"/>
      <c r="Y120" s="10"/>
      <c r="Z120" s="10"/>
      <c r="AA120" s="10"/>
    </row>
    <row r="121" spans="1:27">
      <c r="A121" s="49" t="s">
        <v>183</v>
      </c>
      <c r="B121" s="8">
        <f>B118*B114</f>
        <v>415125</v>
      </c>
      <c r="C121" s="9" t="s">
        <v>66</v>
      </c>
      <c r="D121" s="10"/>
      <c r="E121" s="10"/>
      <c r="F121" s="10"/>
      <c r="G121" s="10"/>
      <c r="H121" s="10"/>
      <c r="I121" s="10"/>
      <c r="J121" s="10"/>
      <c r="K121" s="10"/>
      <c r="L121" s="10"/>
      <c r="M121" s="10"/>
      <c r="N121" s="11"/>
      <c r="O121" s="10"/>
      <c r="P121" s="10"/>
      <c r="Q121" s="10"/>
      <c r="R121" s="10"/>
      <c r="S121" s="10"/>
      <c r="T121" s="10"/>
      <c r="U121" s="10"/>
      <c r="V121" s="10"/>
      <c r="W121" s="10"/>
      <c r="X121" s="10"/>
      <c r="Y121" s="10"/>
      <c r="Z121" s="10"/>
      <c r="AA121" s="10"/>
    </row>
    <row r="122" spans="1:27">
      <c r="A122" s="12"/>
      <c r="B122" s="10"/>
      <c r="C122" s="10"/>
      <c r="D122" s="10"/>
      <c r="E122" s="10"/>
      <c r="F122" s="10"/>
      <c r="G122" s="10"/>
      <c r="H122" s="10"/>
      <c r="I122" s="10"/>
      <c r="J122" s="10"/>
      <c r="K122" s="10"/>
      <c r="L122" s="10"/>
      <c r="M122" s="10"/>
      <c r="N122" s="11"/>
      <c r="O122" s="10"/>
      <c r="P122" s="10"/>
      <c r="Q122" s="10"/>
      <c r="R122" s="10"/>
      <c r="S122" s="10"/>
      <c r="T122" s="10"/>
      <c r="U122" s="10"/>
      <c r="V122" s="10"/>
      <c r="W122" s="10"/>
      <c r="X122" s="10"/>
      <c r="Y122" s="10"/>
      <c r="Z122" s="10"/>
      <c r="AA122" s="10"/>
    </row>
    <row r="123" spans="1:27">
      <c r="A123" s="12"/>
      <c r="B123" s="10"/>
      <c r="C123" s="10"/>
      <c r="D123" s="10"/>
      <c r="E123" s="10"/>
      <c r="F123" s="10"/>
      <c r="G123" s="10"/>
      <c r="H123" s="10"/>
      <c r="I123" s="10"/>
      <c r="J123" s="10"/>
      <c r="K123" s="10"/>
      <c r="L123" s="10"/>
      <c r="M123" s="10"/>
      <c r="N123" s="11"/>
      <c r="O123" s="10"/>
      <c r="P123" s="10"/>
      <c r="Q123" s="10"/>
      <c r="R123" s="10"/>
      <c r="S123" s="10"/>
      <c r="T123" s="10"/>
      <c r="U123" s="10"/>
      <c r="V123" s="10"/>
      <c r="W123" s="10"/>
      <c r="X123" s="10"/>
      <c r="Y123" s="10"/>
      <c r="Z123" s="10"/>
      <c r="AA123" s="10"/>
    </row>
    <row r="124" spans="1:27">
      <c r="A124" s="80" t="s">
        <v>294</v>
      </c>
      <c r="B124" s="5"/>
      <c r="C124" s="5"/>
      <c r="D124" s="5"/>
      <c r="E124" s="79" t="s">
        <v>166</v>
      </c>
      <c r="F124" s="5"/>
      <c r="G124" s="5"/>
      <c r="H124" s="5"/>
      <c r="I124" s="5"/>
      <c r="J124" s="5"/>
      <c r="K124" s="5"/>
      <c r="L124" s="5"/>
      <c r="M124" s="5"/>
      <c r="N124" s="6"/>
      <c r="O124" s="10"/>
      <c r="P124" s="10"/>
      <c r="Q124" s="10"/>
      <c r="R124" s="10"/>
      <c r="S124" s="10"/>
      <c r="T124" s="10"/>
      <c r="U124" s="10"/>
      <c r="V124" s="10"/>
      <c r="W124" s="10"/>
      <c r="X124" s="10"/>
      <c r="Y124" s="10"/>
      <c r="Z124" s="10"/>
      <c r="AA124" s="10"/>
    </row>
    <row r="125" spans="1:27">
      <c r="A125" s="16" t="s">
        <v>33</v>
      </c>
      <c r="B125" s="111"/>
      <c r="C125" s="111"/>
      <c r="D125" s="111"/>
      <c r="E125" s="10" t="s">
        <v>155</v>
      </c>
      <c r="F125" s="10">
        <f>Reken!R7</f>
        <v>225</v>
      </c>
      <c r="G125" s="10" t="s">
        <v>3</v>
      </c>
      <c r="H125" s="10"/>
      <c r="I125" s="10"/>
      <c r="J125" s="10"/>
      <c r="K125" s="10"/>
      <c r="L125" s="10"/>
      <c r="M125" s="10"/>
      <c r="N125" s="11"/>
      <c r="O125" s="10"/>
      <c r="P125" s="10"/>
      <c r="Q125" s="10"/>
      <c r="R125" s="10"/>
      <c r="S125" s="10"/>
      <c r="T125" s="10"/>
      <c r="U125" s="10"/>
      <c r="V125" s="10"/>
      <c r="W125" s="10"/>
      <c r="X125" s="10"/>
      <c r="Y125" s="10"/>
      <c r="Z125" s="10"/>
      <c r="AA125" s="10"/>
    </row>
    <row r="126" spans="1:27">
      <c r="A126" s="4" t="s">
        <v>34</v>
      </c>
      <c r="B126" s="36">
        <v>1.2</v>
      </c>
      <c r="C126" s="6" t="s">
        <v>8</v>
      </c>
      <c r="D126" s="10"/>
      <c r="E126" s="10"/>
      <c r="F126" s="10"/>
      <c r="G126" s="10"/>
      <c r="H126" s="10"/>
      <c r="I126" s="10"/>
      <c r="J126" s="10"/>
      <c r="K126" s="10"/>
      <c r="L126" s="10"/>
      <c r="M126" s="10"/>
      <c r="N126" s="11"/>
      <c r="O126" s="10"/>
      <c r="P126" s="10"/>
      <c r="Q126" s="10"/>
      <c r="R126" s="10"/>
      <c r="S126" s="10"/>
      <c r="T126" s="10"/>
      <c r="U126" s="10"/>
      <c r="V126" s="10"/>
      <c r="W126" s="10"/>
      <c r="X126" s="10"/>
      <c r="Y126" s="10"/>
      <c r="Z126" s="10"/>
      <c r="AA126" s="10"/>
    </row>
    <row r="127" spans="1:27">
      <c r="A127" s="12" t="s">
        <v>7</v>
      </c>
      <c r="B127" s="112">
        <v>0.5</v>
      </c>
      <c r="C127" s="11" t="s">
        <v>8</v>
      </c>
      <c r="D127" s="10"/>
      <c r="E127" s="10"/>
      <c r="F127" s="10"/>
      <c r="G127" s="10"/>
      <c r="H127" s="10"/>
      <c r="I127" s="10"/>
      <c r="J127" s="10"/>
      <c r="K127" s="10"/>
      <c r="L127" s="10"/>
      <c r="M127" s="10"/>
      <c r="N127" s="11"/>
      <c r="O127" s="10"/>
      <c r="P127" s="10"/>
      <c r="Q127" s="10"/>
      <c r="R127" s="10"/>
      <c r="S127" s="10"/>
      <c r="T127" s="10"/>
      <c r="U127" s="10"/>
      <c r="V127" s="10"/>
      <c r="W127" s="10"/>
      <c r="X127" s="10"/>
      <c r="Y127" s="10"/>
      <c r="Z127" s="10"/>
      <c r="AA127" s="10"/>
    </row>
    <row r="128" spans="1:27">
      <c r="A128" s="7" t="s">
        <v>9</v>
      </c>
      <c r="B128" s="37">
        <v>0.5</v>
      </c>
      <c r="C128" s="9" t="s">
        <v>8</v>
      </c>
      <c r="D128" s="10"/>
      <c r="E128" s="10"/>
      <c r="F128" s="10"/>
      <c r="G128" s="10"/>
      <c r="H128" s="10"/>
      <c r="I128" s="10"/>
      <c r="J128" s="10"/>
      <c r="K128" s="10"/>
      <c r="L128" s="10"/>
      <c r="M128" s="10"/>
      <c r="N128" s="11"/>
      <c r="O128" s="10"/>
      <c r="P128" s="10"/>
      <c r="Q128" s="10"/>
      <c r="R128" s="10"/>
      <c r="S128" s="10"/>
      <c r="T128" s="10"/>
      <c r="U128" s="10"/>
      <c r="V128" s="10"/>
      <c r="W128" s="10"/>
      <c r="X128" s="10"/>
      <c r="Y128" s="10"/>
      <c r="Z128" s="10"/>
      <c r="AA128" s="10"/>
    </row>
    <row r="129" spans="1:27">
      <c r="A129" s="12" t="s">
        <v>13</v>
      </c>
      <c r="B129" s="10">
        <f>B127*B128</f>
        <v>0.25</v>
      </c>
      <c r="C129" s="10" t="s">
        <v>2</v>
      </c>
      <c r="D129" s="10"/>
      <c r="E129" s="10"/>
      <c r="F129" s="10"/>
      <c r="G129" s="10"/>
      <c r="H129" s="10"/>
      <c r="I129" s="10"/>
      <c r="J129" s="10"/>
      <c r="K129" s="10"/>
      <c r="L129" s="10"/>
      <c r="M129" s="10"/>
      <c r="N129" s="11"/>
      <c r="O129" s="10"/>
      <c r="P129" s="10"/>
      <c r="Q129" s="10"/>
      <c r="R129" s="10"/>
      <c r="S129" s="10"/>
      <c r="T129" s="10"/>
      <c r="U129" s="10"/>
      <c r="V129" s="10"/>
      <c r="W129" s="10"/>
      <c r="X129" s="10"/>
      <c r="Y129" s="10"/>
      <c r="Z129" s="10"/>
      <c r="AA129" s="10"/>
    </row>
    <row r="130" spans="1:27">
      <c r="A130" s="12" t="s">
        <v>35</v>
      </c>
      <c r="B130" s="10">
        <f>B126*B129</f>
        <v>0.3</v>
      </c>
      <c r="C130" s="10" t="s">
        <v>3</v>
      </c>
      <c r="D130" s="10"/>
      <c r="E130" s="10"/>
      <c r="F130" s="10"/>
      <c r="G130" s="10"/>
      <c r="H130" s="10"/>
      <c r="I130" s="10"/>
      <c r="J130" s="10"/>
      <c r="K130" s="10"/>
      <c r="L130" s="10"/>
      <c r="M130" s="10"/>
      <c r="N130" s="11"/>
      <c r="O130" s="10"/>
      <c r="P130" s="10"/>
      <c r="Q130" s="10"/>
      <c r="R130" s="10"/>
      <c r="S130" s="10"/>
      <c r="T130" s="10"/>
      <c r="U130" s="10"/>
      <c r="V130" s="10"/>
      <c r="W130" s="10"/>
      <c r="X130" s="10"/>
      <c r="Y130" s="10"/>
      <c r="Z130" s="10"/>
      <c r="AA130" s="10"/>
    </row>
    <row r="131" spans="1:27">
      <c r="A131" s="12" t="s">
        <v>35</v>
      </c>
      <c r="B131" s="10">
        <f>B130*1000</f>
        <v>300</v>
      </c>
      <c r="C131" s="10" t="s">
        <v>51</v>
      </c>
      <c r="D131" s="10"/>
      <c r="E131" s="10"/>
      <c r="F131" s="10"/>
      <c r="G131" s="10"/>
      <c r="H131" s="10"/>
      <c r="I131" s="10"/>
      <c r="J131" s="10"/>
      <c r="K131" s="10"/>
      <c r="L131" s="10"/>
      <c r="M131" s="10"/>
      <c r="N131" s="11"/>
      <c r="O131" s="10"/>
      <c r="P131" s="10"/>
      <c r="Q131" s="10"/>
      <c r="R131" s="10"/>
      <c r="S131" s="10"/>
      <c r="T131" s="10"/>
      <c r="U131" s="10"/>
      <c r="V131" s="10"/>
      <c r="W131" s="10"/>
      <c r="X131" s="10"/>
      <c r="Y131" s="10"/>
      <c r="Z131" s="10"/>
      <c r="AA131" s="10"/>
    </row>
    <row r="132" spans="1:27">
      <c r="A132" s="12"/>
      <c r="B132" s="10"/>
      <c r="C132" s="10"/>
      <c r="D132" s="10"/>
      <c r="E132" s="10"/>
      <c r="F132" s="10"/>
      <c r="G132" s="10"/>
      <c r="H132" s="10"/>
      <c r="I132" s="10"/>
      <c r="J132" s="10"/>
      <c r="K132" s="10"/>
      <c r="L132" s="10"/>
      <c r="M132" s="10"/>
      <c r="N132" s="11"/>
      <c r="O132" s="10"/>
      <c r="P132" s="10"/>
      <c r="Q132" s="10"/>
      <c r="R132" s="10"/>
      <c r="S132" s="10"/>
      <c r="T132" s="10"/>
      <c r="U132" s="10"/>
      <c r="V132" s="10"/>
      <c r="W132" s="10"/>
      <c r="X132" s="10"/>
      <c r="Y132" s="10"/>
      <c r="Z132" s="10"/>
      <c r="AA132" s="10"/>
    </row>
    <row r="133" spans="1:27">
      <c r="A133" s="12"/>
      <c r="B133" s="10"/>
      <c r="C133" s="10"/>
      <c r="D133" s="10"/>
      <c r="E133" s="10"/>
      <c r="F133" s="10"/>
      <c r="G133" s="10"/>
      <c r="H133" s="10"/>
      <c r="I133" s="10"/>
      <c r="J133" s="10"/>
      <c r="K133" s="10"/>
      <c r="L133" s="10"/>
      <c r="M133" s="10"/>
      <c r="N133" s="11"/>
      <c r="O133" s="10"/>
      <c r="P133" s="10"/>
      <c r="Q133" s="10"/>
      <c r="R133" s="10"/>
      <c r="S133" s="10"/>
      <c r="T133" s="10"/>
      <c r="U133" s="10"/>
      <c r="V133" s="10"/>
      <c r="W133" s="10"/>
      <c r="X133" s="10"/>
      <c r="Y133" s="10"/>
      <c r="Z133" s="10"/>
      <c r="AA133" s="10"/>
    </row>
    <row r="134" spans="1:27">
      <c r="A134" s="13" t="s">
        <v>25</v>
      </c>
      <c r="B134" s="14"/>
      <c r="C134" s="15"/>
      <c r="D134" s="10"/>
      <c r="E134" s="10"/>
      <c r="F134" s="10"/>
      <c r="G134" s="10"/>
      <c r="H134" s="10"/>
      <c r="I134" s="10"/>
      <c r="J134" s="10"/>
      <c r="K134" s="10"/>
      <c r="L134" s="10"/>
      <c r="M134" s="10"/>
      <c r="N134" s="11"/>
      <c r="O134" s="10"/>
      <c r="P134" s="10"/>
      <c r="Q134" s="10"/>
      <c r="R134" s="10"/>
      <c r="S134" s="10"/>
      <c r="T134" s="10"/>
      <c r="U134" s="10"/>
      <c r="V134" s="10"/>
      <c r="W134" s="10"/>
      <c r="X134" s="10"/>
      <c r="Y134" s="10"/>
      <c r="Z134" s="10"/>
      <c r="AA134" s="10"/>
    </row>
    <row r="135" spans="1:27">
      <c r="A135" s="16" t="s">
        <v>26</v>
      </c>
      <c r="B135" s="10">
        <f>$F$125</f>
        <v>225</v>
      </c>
      <c r="C135" s="11" t="s">
        <v>3</v>
      </c>
      <c r="D135" s="10"/>
      <c r="E135" s="10"/>
      <c r="F135" s="10"/>
      <c r="G135" s="10"/>
      <c r="H135" s="10"/>
      <c r="I135" s="10"/>
      <c r="J135" s="10"/>
      <c r="K135" s="10"/>
      <c r="L135" s="10"/>
      <c r="M135" s="10"/>
      <c r="N135" s="11"/>
      <c r="O135" s="10"/>
      <c r="P135" s="10"/>
      <c r="Q135" s="10"/>
      <c r="R135" s="10"/>
      <c r="S135" s="10"/>
      <c r="T135" s="10"/>
      <c r="U135" s="10"/>
      <c r="V135" s="10"/>
      <c r="W135" s="10"/>
      <c r="X135" s="10"/>
      <c r="Y135" s="10"/>
      <c r="Z135" s="10"/>
      <c r="AA135" s="10"/>
    </row>
    <row r="136" spans="1:27">
      <c r="A136" s="21" t="s">
        <v>27</v>
      </c>
      <c r="B136" s="5">
        <f>C9</f>
        <v>350</v>
      </c>
      <c r="C136" s="6" t="s">
        <v>3</v>
      </c>
      <c r="D136" s="10"/>
      <c r="E136" s="10"/>
      <c r="F136" s="10"/>
      <c r="G136" s="10"/>
      <c r="H136" s="10"/>
      <c r="I136" s="10"/>
      <c r="J136" s="10"/>
      <c r="K136" s="10"/>
      <c r="L136" s="10"/>
      <c r="M136" s="10"/>
      <c r="N136" s="11"/>
      <c r="O136" s="10"/>
      <c r="P136" s="10"/>
      <c r="Q136" s="10"/>
      <c r="R136" s="10"/>
      <c r="S136" s="10"/>
      <c r="T136" s="10"/>
      <c r="U136" s="10"/>
      <c r="V136" s="10"/>
      <c r="W136" s="10"/>
      <c r="X136" s="10"/>
      <c r="Y136" s="10"/>
      <c r="Z136" s="10"/>
      <c r="AA136" s="10"/>
    </row>
    <row r="137" spans="1:27">
      <c r="A137" s="120" t="s">
        <v>186</v>
      </c>
      <c r="B137" s="10">
        <f>D9</f>
        <v>200</v>
      </c>
      <c r="C137" s="11" t="s">
        <v>3</v>
      </c>
      <c r="D137" s="10"/>
      <c r="E137" s="10"/>
      <c r="F137" s="10"/>
      <c r="G137" s="10"/>
      <c r="H137" s="10"/>
      <c r="I137" s="10"/>
      <c r="J137" s="10"/>
      <c r="K137" s="10"/>
      <c r="L137" s="10"/>
      <c r="M137" s="10"/>
      <c r="N137" s="11"/>
      <c r="O137" s="10"/>
      <c r="P137" s="10"/>
      <c r="Q137" s="10"/>
      <c r="R137" s="10"/>
      <c r="S137" s="10"/>
      <c r="T137" s="10"/>
      <c r="U137" s="10"/>
      <c r="V137" s="10"/>
      <c r="W137" s="10"/>
      <c r="X137" s="10"/>
      <c r="Y137" s="10"/>
      <c r="Z137" s="10"/>
      <c r="AA137" s="10"/>
    </row>
    <row r="138" spans="1:27">
      <c r="A138" s="120" t="s">
        <v>187</v>
      </c>
      <c r="B138" s="10">
        <f>E9</f>
        <v>500</v>
      </c>
      <c r="C138" s="11" t="s">
        <v>3</v>
      </c>
      <c r="D138" s="10"/>
      <c r="E138" s="10"/>
      <c r="F138" s="10"/>
      <c r="G138" s="10"/>
      <c r="H138" s="10"/>
      <c r="I138" s="10"/>
      <c r="J138" s="10"/>
      <c r="K138" s="10"/>
      <c r="L138" s="10"/>
      <c r="M138" s="10"/>
      <c r="N138" s="11"/>
      <c r="O138" s="10"/>
      <c r="P138" s="10"/>
      <c r="Q138" s="10"/>
      <c r="R138" s="10"/>
      <c r="S138" s="10"/>
      <c r="T138" s="10"/>
      <c r="U138" s="10"/>
      <c r="V138" s="10"/>
      <c r="W138" s="10"/>
      <c r="X138" s="10"/>
      <c r="Y138" s="10"/>
      <c r="Z138" s="10"/>
      <c r="AA138" s="10"/>
    </row>
    <row r="139" spans="1:27">
      <c r="A139" s="54" t="s">
        <v>18</v>
      </c>
      <c r="B139" s="8">
        <f>B143/B135</f>
        <v>350</v>
      </c>
      <c r="C139" s="9" t="s">
        <v>66</v>
      </c>
      <c r="D139" s="10"/>
      <c r="E139" s="10"/>
      <c r="F139" s="10"/>
      <c r="G139" s="10"/>
      <c r="H139" s="10"/>
      <c r="I139" s="10"/>
      <c r="J139" s="10"/>
      <c r="K139" s="10"/>
      <c r="L139" s="10"/>
      <c r="M139" s="10"/>
      <c r="N139" s="11"/>
      <c r="O139" s="10"/>
      <c r="P139" s="10"/>
      <c r="Q139" s="10"/>
      <c r="R139" s="10"/>
      <c r="S139" s="10"/>
      <c r="T139" s="10"/>
      <c r="U139" s="10"/>
      <c r="V139" s="10"/>
      <c r="W139" s="10"/>
      <c r="X139" s="10"/>
      <c r="Y139" s="10"/>
      <c r="Z139" s="10"/>
      <c r="AA139" s="10"/>
    </row>
    <row r="140" spans="1:27">
      <c r="A140" s="21" t="s">
        <v>71</v>
      </c>
      <c r="B140" s="5">
        <f>H9</f>
        <v>0</v>
      </c>
      <c r="C140" s="6" t="s">
        <v>3</v>
      </c>
      <c r="D140" s="10"/>
      <c r="E140" s="118"/>
      <c r="F140" s="118"/>
      <c r="G140" s="118"/>
      <c r="H140" s="10"/>
      <c r="I140" s="10"/>
      <c r="J140" s="10"/>
      <c r="K140" s="10"/>
      <c r="L140" s="10"/>
      <c r="M140" s="10"/>
      <c r="N140" s="11"/>
      <c r="O140" s="10"/>
      <c r="P140" s="10"/>
      <c r="Q140" s="10"/>
      <c r="R140" s="10"/>
      <c r="S140" s="10"/>
      <c r="T140" s="10"/>
      <c r="U140" s="10"/>
      <c r="V140" s="10"/>
      <c r="W140" s="10"/>
      <c r="X140" s="10"/>
      <c r="Y140" s="10"/>
      <c r="Z140" s="10"/>
      <c r="AA140" s="10"/>
    </row>
    <row r="141" spans="1:27">
      <c r="A141" s="54" t="s">
        <v>72</v>
      </c>
      <c r="B141" s="8">
        <f>B140*B135</f>
        <v>0</v>
      </c>
      <c r="C141" s="9" t="s">
        <v>66</v>
      </c>
      <c r="D141" s="10"/>
      <c r="E141" s="10"/>
      <c r="F141" s="10"/>
      <c r="G141" s="10"/>
      <c r="H141" s="10"/>
      <c r="I141" s="10"/>
      <c r="J141" s="10"/>
      <c r="K141" s="10"/>
      <c r="L141" s="10"/>
      <c r="M141" s="10"/>
      <c r="N141" s="11"/>
      <c r="O141" s="10"/>
      <c r="P141" s="10"/>
      <c r="Q141" s="10"/>
      <c r="R141" s="10"/>
      <c r="S141" s="10"/>
      <c r="T141" s="10"/>
      <c r="U141" s="10"/>
      <c r="V141" s="10"/>
      <c r="W141" s="10"/>
      <c r="X141" s="10"/>
      <c r="Y141" s="10"/>
      <c r="Z141" s="10"/>
      <c r="AA141" s="10"/>
    </row>
    <row r="142" spans="1:27">
      <c r="A142" s="16" t="s">
        <v>159</v>
      </c>
      <c r="B142" s="10">
        <f>B135/B130</f>
        <v>750</v>
      </c>
      <c r="C142" s="58" t="s">
        <v>2</v>
      </c>
      <c r="D142" s="10"/>
      <c r="E142" s="10"/>
      <c r="F142" s="10"/>
      <c r="G142" s="10"/>
      <c r="H142" s="10"/>
      <c r="I142" s="10"/>
      <c r="J142" s="10"/>
      <c r="K142" s="10"/>
      <c r="L142" s="10"/>
      <c r="M142" s="10"/>
      <c r="N142" s="11"/>
      <c r="O142" s="10"/>
      <c r="P142" s="10"/>
      <c r="Q142" s="10"/>
      <c r="R142" s="10"/>
      <c r="S142" s="10"/>
      <c r="T142" s="10"/>
      <c r="U142" s="10"/>
      <c r="V142" s="10"/>
      <c r="W142" s="10"/>
      <c r="X142" s="10"/>
      <c r="Y142" s="10"/>
      <c r="Z142" s="10"/>
      <c r="AA142" s="10"/>
    </row>
    <row r="143" spans="1:27">
      <c r="A143" s="121" t="s">
        <v>160</v>
      </c>
      <c r="B143" s="5">
        <f>B135*B136</f>
        <v>78750</v>
      </c>
      <c r="C143" s="6" t="s">
        <v>66</v>
      </c>
      <c r="D143" s="10"/>
      <c r="E143" s="10"/>
      <c r="F143" s="10"/>
      <c r="G143" s="10"/>
      <c r="H143" s="10"/>
      <c r="I143" s="10"/>
      <c r="J143" s="10"/>
      <c r="K143" s="10"/>
      <c r="L143" s="10"/>
      <c r="M143" s="10"/>
      <c r="N143" s="11"/>
      <c r="O143" s="10"/>
      <c r="P143" s="10"/>
      <c r="Q143" s="10"/>
      <c r="R143" s="10"/>
      <c r="S143" s="10"/>
      <c r="T143" s="10"/>
      <c r="U143" s="10"/>
      <c r="V143" s="10"/>
      <c r="W143" s="10"/>
      <c r="X143" s="10"/>
      <c r="Y143" s="10"/>
      <c r="Z143" s="10"/>
      <c r="AA143" s="10"/>
    </row>
    <row r="144" spans="1:27">
      <c r="A144" s="16" t="s">
        <v>182</v>
      </c>
      <c r="B144" s="10">
        <f>B137*B135</f>
        <v>45000</v>
      </c>
      <c r="C144" s="11" t="s">
        <v>66</v>
      </c>
      <c r="D144" s="10"/>
      <c r="E144" s="10"/>
      <c r="F144" s="10"/>
      <c r="G144" s="10"/>
      <c r="H144" s="10"/>
      <c r="I144" s="10"/>
      <c r="J144" s="10"/>
      <c r="K144" s="10"/>
      <c r="L144" s="10"/>
      <c r="M144" s="10"/>
      <c r="N144" s="11"/>
      <c r="O144" s="10"/>
      <c r="P144" s="10"/>
      <c r="Q144" s="10"/>
      <c r="R144" s="10"/>
      <c r="S144" s="10"/>
      <c r="T144" s="10"/>
      <c r="U144" s="10"/>
      <c r="V144" s="10"/>
      <c r="W144" s="10"/>
      <c r="X144" s="10"/>
      <c r="Y144" s="10"/>
      <c r="Z144" s="10"/>
      <c r="AA144" s="10"/>
    </row>
    <row r="145" spans="1:27">
      <c r="A145" s="49" t="s">
        <v>183</v>
      </c>
      <c r="B145" s="8">
        <f>B135*B138</f>
        <v>112500</v>
      </c>
      <c r="C145" s="9" t="s">
        <v>66</v>
      </c>
      <c r="D145" s="10"/>
      <c r="E145" s="10"/>
      <c r="F145" s="10"/>
      <c r="G145" s="10"/>
      <c r="H145" s="10"/>
      <c r="I145" s="10"/>
      <c r="J145" s="10"/>
      <c r="K145" s="10"/>
      <c r="L145" s="10"/>
      <c r="M145" s="10"/>
      <c r="N145" s="11"/>
      <c r="O145" s="10"/>
      <c r="P145" s="10"/>
      <c r="Q145" s="10"/>
      <c r="R145" s="10"/>
      <c r="S145" s="10"/>
      <c r="T145" s="10"/>
      <c r="U145" s="10"/>
      <c r="V145" s="10"/>
      <c r="W145" s="10"/>
      <c r="X145" s="10"/>
      <c r="Y145" s="10"/>
      <c r="Z145" s="10"/>
      <c r="AA145" s="10"/>
    </row>
    <row r="146" spans="1:27">
      <c r="A146" s="12"/>
      <c r="B146" s="10"/>
      <c r="C146" s="10"/>
      <c r="D146" s="10"/>
      <c r="E146" s="10"/>
      <c r="F146" s="10"/>
      <c r="G146" s="10"/>
      <c r="H146" s="10"/>
      <c r="I146" s="10"/>
      <c r="J146" s="10"/>
      <c r="K146" s="10"/>
      <c r="L146" s="10"/>
      <c r="M146" s="10"/>
      <c r="N146" s="11"/>
      <c r="O146" s="10"/>
      <c r="P146" s="10"/>
      <c r="Q146" s="10"/>
      <c r="R146" s="10"/>
      <c r="S146" s="10"/>
      <c r="T146" s="10"/>
      <c r="U146" s="10"/>
      <c r="V146" s="10"/>
      <c r="W146" s="10"/>
      <c r="X146" s="10"/>
      <c r="Y146" s="10"/>
      <c r="Z146" s="10"/>
      <c r="AA146" s="10"/>
    </row>
    <row r="147" spans="1:27">
      <c r="A147" s="12"/>
      <c r="B147" s="10"/>
      <c r="C147" s="10"/>
      <c r="D147" s="10"/>
      <c r="E147" s="10"/>
      <c r="F147" s="10"/>
      <c r="G147" s="10"/>
      <c r="H147" s="10"/>
      <c r="I147" s="10"/>
      <c r="J147" s="10"/>
      <c r="K147" s="10"/>
      <c r="L147" s="10"/>
      <c r="M147" s="10"/>
      <c r="N147" s="11"/>
      <c r="O147" s="10"/>
      <c r="P147" s="10"/>
      <c r="Q147" s="10"/>
      <c r="R147" s="10"/>
      <c r="S147" s="10"/>
      <c r="T147" s="10"/>
      <c r="U147" s="10"/>
      <c r="V147" s="10"/>
      <c r="W147" s="10"/>
      <c r="X147" s="10"/>
      <c r="Y147" s="10"/>
      <c r="Z147" s="10"/>
      <c r="AA147" s="10"/>
    </row>
    <row r="148" spans="1:27">
      <c r="A148" s="16"/>
      <c r="B148" s="10"/>
      <c r="C148" s="28"/>
      <c r="D148" s="118"/>
      <c r="E148" s="10"/>
      <c r="F148" s="10"/>
      <c r="G148" s="10"/>
      <c r="H148" s="10"/>
      <c r="I148" s="10"/>
      <c r="J148" s="10"/>
      <c r="K148" s="10"/>
      <c r="L148" s="10"/>
      <c r="M148" s="10"/>
      <c r="N148" s="11"/>
      <c r="O148" s="10"/>
      <c r="P148" s="10"/>
      <c r="Q148" s="10"/>
      <c r="R148" s="10"/>
      <c r="S148" s="10"/>
      <c r="T148" s="10"/>
      <c r="U148" s="10"/>
      <c r="V148" s="10"/>
      <c r="W148" s="10"/>
      <c r="X148" s="10"/>
      <c r="Y148" s="10"/>
      <c r="Z148" s="10"/>
      <c r="AA148" s="10"/>
    </row>
    <row r="149" spans="1:27">
      <c r="A149" s="120"/>
      <c r="B149" s="10"/>
      <c r="C149" s="10"/>
      <c r="D149" s="10"/>
      <c r="E149" s="10"/>
      <c r="F149" s="10"/>
      <c r="G149" s="10"/>
      <c r="H149" s="10"/>
      <c r="I149" s="10"/>
      <c r="J149" s="10"/>
      <c r="K149" s="10"/>
      <c r="L149" s="10"/>
      <c r="M149" s="10"/>
      <c r="N149" s="11"/>
      <c r="O149" s="10"/>
      <c r="P149" s="10"/>
      <c r="Q149" s="10"/>
      <c r="R149" s="10"/>
      <c r="S149" s="10"/>
      <c r="T149" s="10"/>
      <c r="U149" s="10"/>
      <c r="V149" s="10"/>
      <c r="W149" s="10"/>
      <c r="X149" s="10"/>
      <c r="Y149" s="10"/>
      <c r="Z149" s="10"/>
      <c r="AA149" s="10"/>
    </row>
    <row r="150" spans="1:27">
      <c r="A150" s="12"/>
      <c r="B150" s="10"/>
      <c r="C150" s="10"/>
      <c r="D150" s="10"/>
      <c r="E150" s="10"/>
      <c r="F150" s="10"/>
      <c r="G150" s="10"/>
      <c r="H150" s="10"/>
      <c r="I150" s="10"/>
      <c r="J150" s="10"/>
      <c r="K150" s="10"/>
      <c r="L150" s="10"/>
      <c r="M150" s="10"/>
      <c r="N150" s="11"/>
      <c r="O150" s="10"/>
      <c r="P150" s="10"/>
      <c r="Q150" s="10"/>
      <c r="R150" s="10"/>
      <c r="S150" s="10"/>
      <c r="T150" s="10"/>
      <c r="U150" s="10"/>
      <c r="V150" s="10"/>
      <c r="W150" s="10"/>
      <c r="X150" s="10"/>
      <c r="Y150" s="10"/>
      <c r="Z150" s="10"/>
      <c r="AA150" s="10"/>
    </row>
    <row r="151" spans="1:27">
      <c r="A151" s="12"/>
      <c r="B151" s="10"/>
      <c r="C151" s="10"/>
      <c r="D151" s="10"/>
      <c r="E151" s="10"/>
      <c r="F151" s="10"/>
      <c r="G151" s="10"/>
      <c r="H151" s="10"/>
      <c r="I151" s="10"/>
      <c r="J151" s="10"/>
      <c r="K151" s="10"/>
      <c r="L151" s="10"/>
      <c r="M151" s="10"/>
      <c r="N151" s="11"/>
      <c r="O151" s="10"/>
      <c r="P151" s="10"/>
      <c r="Q151" s="10"/>
      <c r="R151" s="10"/>
      <c r="S151" s="10"/>
      <c r="T151" s="10"/>
      <c r="U151" s="10"/>
      <c r="V151" s="10"/>
      <c r="W151" s="10"/>
      <c r="X151" s="10"/>
      <c r="Y151" s="10"/>
      <c r="Z151" s="10"/>
      <c r="AA151" s="10"/>
    </row>
    <row r="152" spans="1:27">
      <c r="A152" s="80" t="s">
        <v>295</v>
      </c>
      <c r="B152" s="5"/>
      <c r="C152" s="5"/>
      <c r="D152" s="5"/>
      <c r="E152" s="79" t="s">
        <v>166</v>
      </c>
      <c r="F152" s="5"/>
      <c r="G152" s="5"/>
      <c r="H152" s="5"/>
      <c r="I152" s="5"/>
      <c r="J152" s="5"/>
      <c r="K152" s="79"/>
      <c r="L152" s="5"/>
      <c r="M152" s="5"/>
      <c r="N152" s="6"/>
      <c r="O152" s="10"/>
      <c r="P152" s="10"/>
      <c r="Q152" s="10"/>
      <c r="R152" s="10"/>
      <c r="S152" s="10"/>
      <c r="T152" s="10"/>
      <c r="U152" s="10"/>
      <c r="V152" s="10"/>
      <c r="W152" s="10"/>
      <c r="X152" s="10"/>
      <c r="Y152" s="10"/>
      <c r="Z152" s="10"/>
      <c r="AA152" s="10"/>
    </row>
    <row r="153" spans="1:27">
      <c r="A153" s="16" t="s">
        <v>52</v>
      </c>
      <c r="B153" s="111"/>
      <c r="C153" s="111"/>
      <c r="D153" s="111"/>
      <c r="E153" s="10" t="s">
        <v>154</v>
      </c>
      <c r="F153" s="10">
        <f>R9</f>
        <v>221.4</v>
      </c>
      <c r="G153" s="10" t="s">
        <v>3</v>
      </c>
      <c r="H153" s="111"/>
      <c r="I153" s="111"/>
      <c r="J153" s="10"/>
      <c r="K153" s="10"/>
      <c r="L153" s="10"/>
      <c r="M153" s="10"/>
      <c r="N153" s="174"/>
      <c r="O153" s="10"/>
      <c r="P153" s="111"/>
      <c r="Q153" s="10"/>
      <c r="R153" s="10"/>
      <c r="S153" s="10"/>
      <c r="T153" s="10"/>
      <c r="U153" s="10"/>
      <c r="V153" s="10"/>
      <c r="W153" s="10"/>
      <c r="X153" s="10"/>
      <c r="Y153" s="10"/>
      <c r="Z153" s="10"/>
      <c r="AA153" s="10"/>
    </row>
    <row r="154" spans="1:27">
      <c r="A154" s="12"/>
      <c r="B154" s="10"/>
      <c r="C154" s="10"/>
      <c r="D154" s="10"/>
      <c r="E154" s="10" t="s">
        <v>155</v>
      </c>
      <c r="F154" s="10">
        <f>Reken!R7</f>
        <v>225</v>
      </c>
      <c r="G154" s="10" t="s">
        <v>3</v>
      </c>
      <c r="H154" s="10"/>
      <c r="I154" s="10"/>
      <c r="J154" s="10"/>
      <c r="K154" s="10"/>
      <c r="L154" s="10"/>
      <c r="M154" s="10"/>
      <c r="N154" s="11"/>
      <c r="O154" s="10"/>
      <c r="P154" s="10"/>
      <c r="Q154" s="10"/>
      <c r="R154" s="10"/>
      <c r="S154" s="10"/>
      <c r="T154" s="10"/>
      <c r="U154" s="10"/>
      <c r="V154" s="10"/>
      <c r="W154" s="10"/>
      <c r="X154" s="10"/>
      <c r="Y154" s="10"/>
      <c r="Z154" s="10"/>
      <c r="AA154" s="10"/>
    </row>
    <row r="155" spans="1:27">
      <c r="A155" s="40"/>
      <c r="B155" s="28"/>
      <c r="C155" s="28"/>
      <c r="D155" s="10"/>
      <c r="E155" s="10"/>
      <c r="F155" s="10"/>
      <c r="G155" s="10"/>
      <c r="H155" s="10"/>
      <c r="I155" s="10"/>
      <c r="J155" s="10"/>
      <c r="K155" s="10"/>
      <c r="L155" s="10"/>
      <c r="M155" s="10"/>
      <c r="N155" s="11"/>
      <c r="O155" s="10"/>
      <c r="P155" s="10"/>
      <c r="Q155" s="10"/>
      <c r="R155" s="10"/>
      <c r="S155" s="10"/>
      <c r="T155" s="10"/>
      <c r="U155" s="10"/>
      <c r="V155" s="10"/>
      <c r="W155" s="10"/>
      <c r="X155" s="10"/>
      <c r="Y155" s="10"/>
      <c r="Z155" s="10"/>
      <c r="AA155" s="10"/>
    </row>
    <row r="156" spans="1:27">
      <c r="A156" s="40"/>
      <c r="B156" s="28"/>
      <c r="C156" s="28"/>
      <c r="D156" s="10"/>
      <c r="E156" s="10"/>
      <c r="F156" s="10"/>
      <c r="G156" s="10"/>
      <c r="H156" s="10"/>
      <c r="I156" s="10"/>
      <c r="J156" s="10"/>
      <c r="K156" s="10"/>
      <c r="L156" s="10"/>
      <c r="M156" s="10"/>
      <c r="N156" s="11"/>
      <c r="O156" s="10"/>
      <c r="P156" s="10"/>
      <c r="Q156" s="10"/>
      <c r="R156" s="10"/>
      <c r="S156" s="10"/>
      <c r="T156" s="10"/>
      <c r="U156" s="10"/>
      <c r="V156" s="10"/>
      <c r="W156" s="10"/>
      <c r="X156" s="10"/>
      <c r="Y156" s="10"/>
      <c r="Z156" s="10"/>
      <c r="AA156" s="10"/>
    </row>
    <row r="157" spans="1:27">
      <c r="A157" s="12"/>
      <c r="B157" s="22" t="s">
        <v>53</v>
      </c>
      <c r="C157" s="23"/>
      <c r="D157" s="10"/>
      <c r="E157" s="10" t="s">
        <v>161</v>
      </c>
      <c r="F157" s="10"/>
      <c r="G157" s="10"/>
      <c r="H157" s="10"/>
      <c r="I157" s="10"/>
      <c r="J157" s="10"/>
      <c r="K157" s="10"/>
      <c r="L157" s="10"/>
      <c r="M157" s="10"/>
      <c r="N157" s="11"/>
      <c r="O157" s="10"/>
      <c r="P157" s="10"/>
      <c r="Q157" s="10"/>
      <c r="R157" s="10"/>
      <c r="S157" s="10"/>
      <c r="T157" s="10"/>
      <c r="U157" s="10"/>
      <c r="V157" s="10"/>
      <c r="W157" s="10"/>
      <c r="X157" s="10"/>
      <c r="Y157" s="10"/>
      <c r="Z157" s="10"/>
      <c r="AA157" s="10"/>
    </row>
    <row r="158" spans="1:27">
      <c r="A158" s="171" t="s">
        <v>34</v>
      </c>
      <c r="B158" s="25">
        <v>0.4</v>
      </c>
      <c r="C158" s="18" t="s">
        <v>8</v>
      </c>
      <c r="D158" s="10"/>
      <c r="E158" s="36">
        <v>2</v>
      </c>
      <c r="F158" s="10" t="s">
        <v>54</v>
      </c>
      <c r="G158" s="10"/>
      <c r="H158" s="28"/>
      <c r="I158" s="10"/>
      <c r="J158" s="10"/>
      <c r="K158" s="10"/>
      <c r="L158" s="10"/>
      <c r="M158" s="10"/>
      <c r="N158" s="11"/>
      <c r="O158" s="10"/>
      <c r="P158" s="10"/>
      <c r="Q158" s="10"/>
      <c r="R158" s="10"/>
      <c r="S158" s="10"/>
      <c r="T158" s="10"/>
      <c r="U158" s="10"/>
      <c r="V158" s="10"/>
      <c r="W158" s="10"/>
      <c r="X158" s="10"/>
      <c r="Y158" s="10"/>
      <c r="Z158" s="10"/>
      <c r="AA158" s="10"/>
    </row>
    <row r="159" spans="1:27">
      <c r="A159" s="12" t="s">
        <v>9</v>
      </c>
      <c r="B159" s="25">
        <v>0.6</v>
      </c>
      <c r="C159" s="18" t="s">
        <v>8</v>
      </c>
      <c r="D159" s="10"/>
      <c r="E159" s="115"/>
      <c r="F159" s="10"/>
      <c r="G159" s="10"/>
      <c r="H159" s="28"/>
      <c r="I159" s="10"/>
      <c r="J159" s="10"/>
      <c r="K159" s="10"/>
      <c r="L159" s="10"/>
      <c r="M159" s="10"/>
      <c r="N159" s="11"/>
      <c r="O159" s="10"/>
      <c r="P159" s="10"/>
      <c r="Q159" s="10"/>
      <c r="R159" s="10"/>
      <c r="S159" s="10"/>
      <c r="T159" s="10"/>
      <c r="U159" s="10"/>
      <c r="V159" s="10"/>
      <c r="W159" s="10"/>
      <c r="X159" s="10"/>
      <c r="Y159" s="10"/>
      <c r="Z159" s="10"/>
      <c r="AA159" s="10"/>
    </row>
    <row r="160" spans="1:27">
      <c r="A160" s="172" t="s">
        <v>7</v>
      </c>
      <c r="B160" s="26">
        <v>1.2</v>
      </c>
      <c r="C160" s="19" t="s">
        <v>8</v>
      </c>
      <c r="D160" s="10"/>
      <c r="E160" s="113"/>
      <c r="F160" s="10"/>
      <c r="G160" s="10"/>
      <c r="H160" s="28"/>
      <c r="I160" s="10"/>
      <c r="J160" s="10"/>
      <c r="K160" s="10"/>
      <c r="L160" s="10"/>
      <c r="M160" s="10"/>
      <c r="N160" s="11"/>
      <c r="O160" s="10"/>
      <c r="P160" s="10"/>
      <c r="Q160" s="10"/>
      <c r="R160" s="10"/>
      <c r="S160" s="10"/>
      <c r="T160" s="10"/>
      <c r="U160" s="10"/>
      <c r="V160" s="10"/>
      <c r="W160" s="10"/>
      <c r="X160" s="10"/>
      <c r="Y160" s="10"/>
      <c r="Z160" s="10"/>
      <c r="AA160" s="10"/>
    </row>
    <row r="161" spans="1:27">
      <c r="A161" s="12"/>
      <c r="B161" s="10"/>
      <c r="C161" s="10"/>
      <c r="D161" s="10"/>
      <c r="E161" s="114"/>
      <c r="F161" s="10"/>
      <c r="G161" s="10"/>
      <c r="H161" s="10"/>
      <c r="I161" s="10"/>
      <c r="J161" s="10"/>
      <c r="K161" s="10"/>
      <c r="L161" s="10"/>
      <c r="M161" s="10"/>
      <c r="N161" s="11"/>
      <c r="O161" s="10"/>
      <c r="P161" s="10"/>
      <c r="Q161" s="10"/>
      <c r="R161" s="10"/>
      <c r="S161" s="10"/>
      <c r="T161" s="10"/>
      <c r="U161" s="10"/>
      <c r="V161" s="10"/>
      <c r="W161" s="10"/>
      <c r="X161" s="10"/>
      <c r="Y161" s="10"/>
      <c r="Z161" s="10"/>
      <c r="AA161" s="10"/>
    </row>
    <row r="162" spans="1:27">
      <c r="A162" s="34" t="s">
        <v>55</v>
      </c>
      <c r="B162" s="35">
        <v>95</v>
      </c>
      <c r="C162" s="15" t="s">
        <v>47</v>
      </c>
      <c r="D162" s="10"/>
      <c r="E162" s="10"/>
      <c r="F162" s="10"/>
      <c r="G162" s="10"/>
      <c r="H162" s="10"/>
      <c r="I162" s="10"/>
      <c r="J162" s="10"/>
      <c r="K162" s="10"/>
      <c r="L162" s="10"/>
      <c r="M162" s="10"/>
      <c r="N162" s="11"/>
      <c r="O162" s="10"/>
      <c r="P162" s="10"/>
      <c r="Q162" s="10"/>
      <c r="R162" s="10"/>
      <c r="S162" s="10"/>
      <c r="T162" s="10"/>
      <c r="U162" s="10"/>
      <c r="V162" s="10"/>
      <c r="W162" s="10"/>
      <c r="X162" s="10"/>
      <c r="Y162" s="10"/>
      <c r="Z162" s="10"/>
      <c r="AA162" s="10"/>
    </row>
    <row r="163" spans="1:27">
      <c r="A163" s="12" t="s">
        <v>104</v>
      </c>
      <c r="B163" s="10">
        <f>(B158*B159*B160)*(B162/100)</f>
        <v>0.27359999999999995</v>
      </c>
      <c r="C163" s="10" t="s">
        <v>3</v>
      </c>
      <c r="D163" s="10"/>
      <c r="E163" s="175"/>
      <c r="F163" s="10"/>
      <c r="G163" s="10"/>
      <c r="H163" s="10"/>
      <c r="I163" s="10"/>
      <c r="J163" s="10"/>
      <c r="K163" s="10"/>
      <c r="L163" s="10"/>
      <c r="M163" s="10"/>
      <c r="N163" s="11"/>
      <c r="O163" s="10"/>
      <c r="P163" s="10"/>
      <c r="Q163" s="10"/>
      <c r="R163" s="10"/>
      <c r="S163" s="10"/>
      <c r="T163" s="10"/>
      <c r="U163" s="10"/>
      <c r="V163" s="10"/>
      <c r="W163" s="10"/>
      <c r="X163" s="10"/>
      <c r="Y163" s="10"/>
      <c r="Z163" s="10"/>
      <c r="AA163" s="10"/>
    </row>
    <row r="164" spans="1:27">
      <c r="A164" s="12" t="s">
        <v>105</v>
      </c>
      <c r="B164" s="10">
        <f>$B$173/B163</f>
        <v>809.21052631578959</v>
      </c>
      <c r="C164" s="10" t="s">
        <v>54</v>
      </c>
      <c r="D164" s="10"/>
      <c r="E164" s="175"/>
      <c r="F164" s="10"/>
      <c r="G164" s="10"/>
      <c r="H164" s="10"/>
      <c r="I164" s="10"/>
      <c r="J164" s="10"/>
      <c r="K164" s="10"/>
      <c r="L164" s="10"/>
      <c r="M164" s="10"/>
      <c r="N164" s="11"/>
      <c r="O164" s="10"/>
      <c r="P164" s="10"/>
      <c r="Q164" s="10"/>
      <c r="R164" s="10"/>
      <c r="S164" s="10"/>
      <c r="T164" s="10"/>
      <c r="U164" s="10"/>
      <c r="V164" s="10"/>
      <c r="W164" s="10"/>
      <c r="X164" s="10"/>
      <c r="Y164" s="10"/>
      <c r="Z164" s="10"/>
      <c r="AA164" s="10"/>
    </row>
    <row r="165" spans="1:27">
      <c r="A165" s="12" t="s">
        <v>106</v>
      </c>
      <c r="B165" s="10">
        <f>B159*B160</f>
        <v>0.72</v>
      </c>
      <c r="C165" s="10" t="s">
        <v>2</v>
      </c>
      <c r="D165" s="10"/>
      <c r="E165" s="10"/>
      <c r="F165" s="10"/>
      <c r="G165" s="10"/>
      <c r="H165" s="10"/>
      <c r="I165" s="10"/>
      <c r="J165" s="10"/>
      <c r="K165" s="10"/>
      <c r="L165" s="10"/>
      <c r="M165" s="10"/>
      <c r="N165" s="11"/>
      <c r="O165" s="10"/>
      <c r="P165" s="10"/>
      <c r="Q165" s="10"/>
      <c r="R165" s="10"/>
      <c r="S165" s="10"/>
    </row>
    <row r="166" spans="1:27">
      <c r="A166" s="12" t="s">
        <v>162</v>
      </c>
      <c r="B166" s="10">
        <f>((E158*B158)*B159*B160)*(B162/100)</f>
        <v>0.54719999999999991</v>
      </c>
      <c r="C166" s="10" t="s">
        <v>3</v>
      </c>
      <c r="D166" s="10"/>
      <c r="E166" s="10"/>
      <c r="F166" s="10"/>
      <c r="G166" s="10"/>
      <c r="H166" s="10"/>
      <c r="I166" s="10"/>
      <c r="J166" s="10"/>
      <c r="K166" s="10"/>
      <c r="L166" s="10"/>
      <c r="M166" s="10"/>
      <c r="N166" s="11"/>
      <c r="O166" s="10"/>
      <c r="P166" s="10"/>
      <c r="Q166" s="10"/>
      <c r="R166" s="10"/>
      <c r="S166" s="10"/>
    </row>
    <row r="167" spans="1:27">
      <c r="A167" s="12" t="s">
        <v>163</v>
      </c>
      <c r="B167" s="10">
        <f>B173/B166</f>
        <v>404.6052631578948</v>
      </c>
      <c r="C167" s="10" t="s">
        <v>54</v>
      </c>
      <c r="D167" s="10"/>
      <c r="E167" s="10"/>
      <c r="F167" s="10"/>
      <c r="G167" s="10"/>
      <c r="H167" s="10"/>
      <c r="I167" s="10"/>
      <c r="J167" s="10"/>
      <c r="K167" s="10"/>
      <c r="L167" s="10"/>
      <c r="M167" s="10"/>
      <c r="N167" s="11"/>
      <c r="O167" s="10"/>
      <c r="P167" s="10"/>
      <c r="Q167" s="10"/>
      <c r="R167" s="10"/>
      <c r="S167" s="10"/>
    </row>
    <row r="168" spans="1:27">
      <c r="A168" s="12" t="s">
        <v>164</v>
      </c>
      <c r="B168" s="10">
        <f>B167*B165</f>
        <v>291.31578947368422</v>
      </c>
      <c r="C168" s="10" t="s">
        <v>2</v>
      </c>
      <c r="D168" s="10"/>
      <c r="E168" s="10"/>
      <c r="F168" s="10"/>
      <c r="G168" s="10"/>
      <c r="H168" s="10"/>
      <c r="I168" s="10"/>
      <c r="J168" s="10"/>
      <c r="K168" s="10"/>
      <c r="L168" s="10"/>
      <c r="M168" s="10"/>
      <c r="N168" s="11"/>
      <c r="O168" s="10"/>
      <c r="P168" s="10"/>
      <c r="Q168" s="10"/>
      <c r="R168" s="10"/>
      <c r="S168" s="10"/>
    </row>
    <row r="169" spans="1:27">
      <c r="A169" s="12"/>
      <c r="B169" s="10"/>
      <c r="C169" s="10"/>
      <c r="D169" s="10"/>
      <c r="E169" s="10"/>
      <c r="F169" s="10"/>
      <c r="G169" s="10"/>
      <c r="H169" s="10"/>
      <c r="I169" s="10"/>
      <c r="J169" s="10"/>
      <c r="K169" s="10"/>
      <c r="L169" s="10"/>
      <c r="M169" s="10"/>
      <c r="N169" s="11"/>
      <c r="O169" s="10"/>
      <c r="P169" s="10"/>
      <c r="Q169" s="10"/>
      <c r="R169" s="10"/>
      <c r="S169" s="10"/>
    </row>
    <row r="170" spans="1:27">
      <c r="A170" s="12"/>
      <c r="B170" s="10"/>
      <c r="C170" s="10"/>
      <c r="D170" s="10"/>
      <c r="E170" s="10"/>
      <c r="F170" s="10"/>
      <c r="G170" s="10"/>
      <c r="H170" s="10"/>
      <c r="I170" s="10"/>
      <c r="J170" s="10"/>
      <c r="K170" s="10"/>
      <c r="L170" s="10"/>
      <c r="M170" s="10"/>
      <c r="N170" s="11"/>
      <c r="O170" s="10"/>
      <c r="P170" s="10"/>
      <c r="Q170" s="10"/>
      <c r="R170" s="10"/>
      <c r="S170" s="10"/>
    </row>
    <row r="171" spans="1:27">
      <c r="A171" s="12"/>
      <c r="B171" s="10"/>
      <c r="C171" s="10"/>
      <c r="D171" s="10"/>
      <c r="E171" s="10"/>
      <c r="F171" s="10"/>
      <c r="G171" s="10"/>
      <c r="H171" s="10"/>
      <c r="I171" s="10"/>
      <c r="J171" s="10"/>
      <c r="K171" s="10"/>
      <c r="L171" s="10"/>
      <c r="M171" s="10"/>
      <c r="N171" s="11"/>
      <c r="O171" s="10"/>
      <c r="P171" s="10"/>
      <c r="Q171" s="10"/>
      <c r="R171" s="10"/>
      <c r="S171" s="10"/>
    </row>
    <row r="172" spans="1:27">
      <c r="A172" s="13" t="s">
        <v>25</v>
      </c>
      <c r="B172" s="14"/>
      <c r="C172" s="15"/>
      <c r="D172" s="10"/>
      <c r="E172" s="10"/>
      <c r="F172" s="10"/>
      <c r="G172" s="10"/>
      <c r="H172" s="10"/>
      <c r="I172" s="10"/>
      <c r="J172" s="10"/>
      <c r="K172" s="10"/>
      <c r="L172" s="10"/>
      <c r="M172" s="10"/>
      <c r="N172" s="11"/>
      <c r="O172" s="10"/>
      <c r="P172" s="10"/>
      <c r="Q172" s="10"/>
      <c r="R172" s="10"/>
      <c r="S172" s="10"/>
      <c r="T172" s="10"/>
      <c r="U172" s="10"/>
      <c r="V172" s="10"/>
      <c r="W172" s="10"/>
      <c r="X172" s="10"/>
      <c r="Y172" s="10"/>
      <c r="Z172" s="10"/>
      <c r="AA172" s="10"/>
    </row>
    <row r="173" spans="1:27">
      <c r="A173" s="16" t="s">
        <v>26</v>
      </c>
      <c r="B173" s="10">
        <f>IF('Invoer factoren'!$M$19="X",F153+F154,F153)</f>
        <v>221.4</v>
      </c>
      <c r="C173" s="11" t="s">
        <v>3</v>
      </c>
      <c r="D173" s="10"/>
      <c r="E173" s="10"/>
      <c r="F173" s="10"/>
      <c r="G173" s="10"/>
      <c r="H173" s="10"/>
      <c r="I173" s="10"/>
      <c r="J173" s="10"/>
      <c r="K173" s="10"/>
      <c r="L173" s="10"/>
      <c r="M173" s="10"/>
      <c r="N173" s="11"/>
      <c r="O173" s="10"/>
      <c r="P173" s="10"/>
      <c r="Q173" s="10"/>
      <c r="R173" s="10"/>
      <c r="S173" s="10"/>
      <c r="T173" s="10"/>
      <c r="U173" s="10"/>
      <c r="V173" s="10"/>
      <c r="W173" s="10"/>
      <c r="X173" s="10"/>
      <c r="Y173" s="10"/>
      <c r="Z173" s="10"/>
      <c r="AA173" s="10"/>
    </row>
    <row r="174" spans="1:27">
      <c r="A174" s="21" t="s">
        <v>27</v>
      </c>
      <c r="B174" s="5">
        <f>C10</f>
        <v>475</v>
      </c>
      <c r="C174" s="6" t="s">
        <v>3</v>
      </c>
      <c r="D174" s="10"/>
      <c r="E174" s="10"/>
      <c r="F174" s="10"/>
      <c r="G174" s="10"/>
      <c r="H174" s="10"/>
      <c r="I174" s="10"/>
      <c r="J174" s="10"/>
      <c r="K174" s="10"/>
      <c r="L174" s="10"/>
      <c r="M174" s="10"/>
      <c r="N174" s="11"/>
      <c r="O174" s="10"/>
      <c r="P174" s="10"/>
      <c r="Q174" s="10"/>
      <c r="R174" s="10"/>
      <c r="S174" s="10"/>
      <c r="T174" s="10"/>
      <c r="U174" s="10"/>
      <c r="V174" s="10"/>
      <c r="W174" s="10"/>
      <c r="X174" s="10"/>
      <c r="Y174" s="10"/>
      <c r="Z174" s="10"/>
      <c r="AA174" s="10"/>
    </row>
    <row r="175" spans="1:27">
      <c r="A175" s="120" t="s">
        <v>186</v>
      </c>
      <c r="B175" s="10">
        <f>D10</f>
        <v>350</v>
      </c>
      <c r="C175" s="11" t="s">
        <v>3</v>
      </c>
      <c r="D175" s="10"/>
      <c r="E175" s="10"/>
      <c r="F175" s="10"/>
      <c r="G175" s="10"/>
      <c r="H175" s="10"/>
      <c r="I175" s="10"/>
      <c r="J175" s="10"/>
      <c r="K175" s="10"/>
      <c r="L175" s="10"/>
      <c r="M175" s="10"/>
      <c r="N175" s="11"/>
      <c r="O175" s="10"/>
      <c r="P175" s="10"/>
      <c r="Q175" s="10"/>
      <c r="R175" s="10"/>
      <c r="S175" s="10"/>
      <c r="T175" s="10"/>
      <c r="U175" s="10"/>
      <c r="V175" s="10"/>
      <c r="W175" s="10"/>
      <c r="X175" s="10"/>
      <c r="Y175" s="10"/>
      <c r="Z175" s="10"/>
      <c r="AA175" s="10"/>
    </row>
    <row r="176" spans="1:27">
      <c r="A176" s="120" t="s">
        <v>187</v>
      </c>
      <c r="B176" s="10">
        <f>E10</f>
        <v>600</v>
      </c>
      <c r="C176" s="11" t="s">
        <v>3</v>
      </c>
      <c r="D176" s="10"/>
      <c r="E176" s="10"/>
      <c r="F176" s="10"/>
      <c r="G176" s="10"/>
      <c r="H176" s="10"/>
      <c r="I176" s="10"/>
      <c r="J176" s="10"/>
      <c r="K176" s="10"/>
      <c r="L176" s="10"/>
      <c r="M176" s="10"/>
      <c r="N176" s="11"/>
      <c r="O176" s="10"/>
      <c r="P176" s="10"/>
      <c r="Q176" s="10"/>
      <c r="R176" s="10"/>
      <c r="S176" s="10"/>
      <c r="T176" s="10"/>
      <c r="U176" s="10"/>
      <c r="V176" s="10"/>
      <c r="W176" s="10"/>
      <c r="X176" s="10"/>
      <c r="Y176" s="10"/>
      <c r="Z176" s="10"/>
      <c r="AA176" s="10"/>
    </row>
    <row r="177" spans="1:27">
      <c r="A177" s="54" t="s">
        <v>18</v>
      </c>
      <c r="B177" s="8">
        <f>B181/B173</f>
        <v>475</v>
      </c>
      <c r="C177" s="9" t="s">
        <v>66</v>
      </c>
      <c r="D177" s="10"/>
      <c r="E177" s="10"/>
      <c r="F177" s="10"/>
      <c r="G177" s="10"/>
      <c r="H177" s="10"/>
      <c r="I177" s="10"/>
      <c r="J177" s="10"/>
      <c r="K177" s="10"/>
      <c r="L177" s="10"/>
      <c r="M177" s="10"/>
      <c r="N177" s="11"/>
      <c r="O177" s="10"/>
      <c r="P177" s="10"/>
      <c r="Q177" s="10"/>
      <c r="R177" s="10"/>
      <c r="S177" s="10"/>
      <c r="T177" s="10"/>
      <c r="U177" s="10"/>
      <c r="V177" s="10"/>
      <c r="W177" s="10"/>
      <c r="X177" s="10"/>
      <c r="Y177" s="10"/>
      <c r="Z177" s="10"/>
      <c r="AA177" s="10"/>
    </row>
    <row r="178" spans="1:27">
      <c r="A178" s="21" t="s">
        <v>71</v>
      </c>
      <c r="B178" s="5">
        <f>H10</f>
        <v>5.3</v>
      </c>
      <c r="C178" s="6" t="s">
        <v>2</v>
      </c>
      <c r="D178" s="10"/>
      <c r="E178" s="10"/>
      <c r="F178" s="10"/>
      <c r="G178" s="10"/>
      <c r="H178" s="10"/>
      <c r="I178" s="10"/>
      <c r="J178" s="10"/>
      <c r="K178" s="10"/>
      <c r="L178" s="10"/>
      <c r="M178" s="10"/>
      <c r="N178" s="11"/>
      <c r="O178" s="10"/>
      <c r="P178" s="10"/>
      <c r="Q178" s="10"/>
      <c r="R178" s="10"/>
      <c r="S178" s="10"/>
      <c r="T178" s="10"/>
      <c r="U178" s="10"/>
      <c r="V178" s="10"/>
      <c r="W178" s="10"/>
      <c r="X178" s="10"/>
      <c r="Y178" s="10"/>
      <c r="Z178" s="10"/>
      <c r="AA178" s="10"/>
    </row>
    <row r="179" spans="1:27">
      <c r="A179" s="54" t="s">
        <v>72</v>
      </c>
      <c r="B179" s="8">
        <f>B178*B180</f>
        <v>1543.9736842105262</v>
      </c>
      <c r="C179" s="9" t="s">
        <v>66</v>
      </c>
      <c r="D179" s="10"/>
      <c r="E179" s="10"/>
      <c r="F179" s="10"/>
      <c r="G179" s="10"/>
      <c r="H179" s="10"/>
      <c r="I179" s="10"/>
      <c r="J179" s="10"/>
      <c r="K179" s="10"/>
      <c r="L179" s="10"/>
      <c r="M179" s="10"/>
      <c r="N179" s="11"/>
      <c r="O179" s="10"/>
      <c r="P179" s="10"/>
      <c r="Q179" s="10"/>
      <c r="R179" s="10"/>
      <c r="S179" s="10"/>
      <c r="T179" s="10"/>
      <c r="U179" s="10"/>
      <c r="V179" s="10"/>
      <c r="W179" s="10"/>
      <c r="X179" s="10"/>
      <c r="Y179" s="10"/>
      <c r="Z179" s="10"/>
      <c r="AA179" s="10"/>
    </row>
    <row r="180" spans="1:27">
      <c r="A180" s="16" t="s">
        <v>153</v>
      </c>
      <c r="B180" s="10">
        <f>B168</f>
        <v>291.31578947368422</v>
      </c>
      <c r="C180" s="58" t="s">
        <v>2</v>
      </c>
      <c r="D180" s="10"/>
      <c r="E180" s="10"/>
      <c r="F180" s="10"/>
      <c r="G180" s="10"/>
      <c r="H180" s="10"/>
      <c r="I180" s="10"/>
      <c r="J180" s="10"/>
      <c r="K180" s="10"/>
      <c r="L180" s="10"/>
      <c r="M180" s="10"/>
      <c r="N180" s="11"/>
      <c r="O180" s="10"/>
      <c r="P180" s="10"/>
      <c r="Q180" s="10"/>
      <c r="R180" s="10"/>
      <c r="S180" s="10"/>
      <c r="T180" s="10"/>
      <c r="U180" s="10"/>
      <c r="V180" s="10"/>
      <c r="W180" s="10"/>
      <c r="X180" s="10"/>
      <c r="Y180" s="10"/>
      <c r="Z180" s="10"/>
      <c r="AA180" s="10"/>
    </row>
    <row r="181" spans="1:27">
      <c r="A181" s="121" t="s">
        <v>160</v>
      </c>
      <c r="B181" s="5">
        <f>B174*B173</f>
        <v>105165</v>
      </c>
      <c r="C181" s="6" t="s">
        <v>66</v>
      </c>
      <c r="D181" s="10"/>
      <c r="E181" s="10"/>
      <c r="F181" s="10"/>
      <c r="G181" s="10"/>
      <c r="H181" s="10"/>
      <c r="I181" s="10"/>
      <c r="J181" s="10"/>
      <c r="K181" s="10"/>
      <c r="L181" s="10"/>
      <c r="M181" s="10"/>
      <c r="N181" s="11"/>
      <c r="O181" s="10"/>
      <c r="P181" s="10"/>
      <c r="Q181" s="10"/>
      <c r="R181" s="10"/>
      <c r="S181" s="10"/>
      <c r="T181" s="10"/>
      <c r="U181" s="10"/>
      <c r="V181" s="10"/>
      <c r="W181" s="10"/>
      <c r="X181" s="10"/>
      <c r="Y181" s="10"/>
      <c r="Z181" s="10"/>
      <c r="AA181" s="10"/>
    </row>
    <row r="182" spans="1:27">
      <c r="A182" s="16" t="s">
        <v>182</v>
      </c>
      <c r="B182" s="10">
        <f>B173*B175</f>
        <v>77490</v>
      </c>
      <c r="C182" s="11" t="s">
        <v>66</v>
      </c>
      <c r="D182" s="10"/>
      <c r="E182" s="10"/>
      <c r="F182" s="10"/>
      <c r="G182" s="10"/>
      <c r="H182" s="10"/>
      <c r="I182" s="10"/>
      <c r="J182" s="10"/>
      <c r="K182" s="10"/>
      <c r="L182" s="10"/>
      <c r="M182" s="10"/>
      <c r="N182" s="11"/>
      <c r="O182" s="10"/>
      <c r="P182" s="10"/>
      <c r="Q182" s="10"/>
      <c r="R182" s="10"/>
      <c r="S182" s="10"/>
      <c r="T182" s="10"/>
      <c r="U182" s="10"/>
      <c r="V182" s="10"/>
      <c r="W182" s="10"/>
      <c r="X182" s="10"/>
      <c r="Y182" s="10"/>
      <c r="Z182" s="10"/>
      <c r="AA182" s="10"/>
    </row>
    <row r="183" spans="1:27">
      <c r="A183" s="49" t="s">
        <v>183</v>
      </c>
      <c r="B183" s="8">
        <f>B173*B176</f>
        <v>132840</v>
      </c>
      <c r="C183" s="9" t="s">
        <v>66</v>
      </c>
      <c r="D183" s="10"/>
      <c r="E183" s="10"/>
      <c r="F183" s="10"/>
      <c r="G183" s="10"/>
      <c r="H183" s="10"/>
      <c r="I183" s="10"/>
      <c r="J183" s="10"/>
      <c r="K183" s="10"/>
      <c r="L183" s="10"/>
      <c r="M183" s="10"/>
      <c r="N183" s="11"/>
      <c r="O183" s="10"/>
      <c r="P183" s="10"/>
      <c r="Q183" s="10"/>
      <c r="R183" s="10"/>
      <c r="S183" s="10"/>
      <c r="T183" s="10"/>
      <c r="U183" s="10"/>
      <c r="V183" s="10"/>
      <c r="W183" s="10"/>
      <c r="X183" s="10"/>
      <c r="Y183" s="10"/>
      <c r="Z183" s="10"/>
      <c r="AA183" s="10"/>
    </row>
    <row r="184" spans="1:27">
      <c r="A184" s="12"/>
      <c r="B184" s="10"/>
      <c r="C184" s="10"/>
      <c r="D184" s="10"/>
      <c r="E184" s="10"/>
      <c r="F184" s="10"/>
      <c r="G184" s="10"/>
      <c r="H184" s="10"/>
      <c r="I184" s="10"/>
      <c r="J184" s="10"/>
      <c r="K184" s="10"/>
      <c r="L184" s="10"/>
      <c r="M184" s="10"/>
      <c r="N184" s="11"/>
      <c r="O184" s="10"/>
      <c r="P184" s="10"/>
      <c r="Q184" s="10"/>
      <c r="R184" s="10"/>
      <c r="S184" s="10"/>
      <c r="T184" s="10"/>
      <c r="U184" s="10"/>
      <c r="V184" s="10"/>
      <c r="W184" s="10"/>
      <c r="X184" s="10"/>
      <c r="Y184" s="10"/>
      <c r="Z184" s="10"/>
      <c r="AA184" s="10"/>
    </row>
    <row r="185" spans="1:27">
      <c r="A185" s="12"/>
      <c r="B185" s="10"/>
      <c r="C185" s="10"/>
      <c r="D185" s="10"/>
      <c r="E185" s="10"/>
      <c r="F185" s="10"/>
      <c r="G185" s="10"/>
      <c r="H185" s="10"/>
      <c r="I185" s="10"/>
      <c r="J185" s="10"/>
      <c r="K185" s="10"/>
      <c r="L185" s="10"/>
      <c r="M185" s="10"/>
      <c r="N185" s="11"/>
      <c r="O185" s="10"/>
      <c r="P185" s="10"/>
      <c r="Q185" s="10"/>
      <c r="R185" s="10"/>
      <c r="S185" s="10"/>
      <c r="T185" s="10"/>
      <c r="U185" s="10"/>
      <c r="V185" s="10"/>
      <c r="W185" s="10"/>
      <c r="X185" s="10"/>
      <c r="Y185" s="10"/>
      <c r="Z185" s="10"/>
      <c r="AA185" s="10"/>
    </row>
    <row r="186" spans="1:27">
      <c r="A186" s="12"/>
      <c r="B186" s="10"/>
      <c r="C186" s="10"/>
      <c r="D186" s="118"/>
      <c r="E186" s="10"/>
      <c r="F186" s="10"/>
      <c r="G186" s="10"/>
      <c r="H186" s="10"/>
      <c r="I186" s="10"/>
      <c r="J186" s="10"/>
      <c r="K186" s="10"/>
      <c r="L186" s="10"/>
      <c r="M186" s="10"/>
      <c r="N186" s="11"/>
      <c r="O186" s="10"/>
      <c r="P186" s="10"/>
      <c r="Q186" s="10"/>
      <c r="R186" s="10"/>
      <c r="S186" s="10"/>
      <c r="T186" s="10"/>
      <c r="U186" s="10"/>
      <c r="V186" s="10"/>
      <c r="W186" s="10"/>
      <c r="X186" s="10"/>
      <c r="Y186" s="10"/>
      <c r="Z186" s="10"/>
      <c r="AA186" s="10"/>
    </row>
    <row r="187" spans="1:27">
      <c r="A187" s="12"/>
      <c r="B187" s="10"/>
      <c r="C187" s="10"/>
      <c r="D187" s="10"/>
      <c r="E187" s="10"/>
      <c r="F187" s="10"/>
      <c r="G187" s="10"/>
      <c r="H187" s="10"/>
      <c r="I187" s="10"/>
      <c r="J187" s="10"/>
      <c r="K187" s="10"/>
      <c r="L187" s="10"/>
      <c r="M187" s="10"/>
      <c r="N187" s="11"/>
      <c r="O187" s="10"/>
      <c r="P187" s="10"/>
      <c r="Q187" s="10"/>
      <c r="R187" s="10"/>
      <c r="S187" s="10"/>
      <c r="T187" s="10"/>
      <c r="U187" s="10"/>
      <c r="V187" s="10"/>
      <c r="W187" s="10"/>
      <c r="X187" s="10"/>
      <c r="Y187" s="10"/>
      <c r="Z187" s="10"/>
      <c r="AA187" s="10"/>
    </row>
    <row r="188" spans="1:27">
      <c r="A188" s="12"/>
      <c r="B188" s="10"/>
      <c r="C188" s="10"/>
      <c r="D188" s="10"/>
      <c r="E188" s="10"/>
      <c r="F188" s="10"/>
      <c r="G188" s="10"/>
      <c r="H188" s="10"/>
      <c r="I188" s="10"/>
      <c r="J188" s="10"/>
      <c r="K188" s="10"/>
      <c r="L188" s="10"/>
      <c r="M188" s="10"/>
      <c r="N188" s="11"/>
      <c r="O188" s="10"/>
      <c r="P188" s="10"/>
      <c r="Q188" s="10"/>
      <c r="R188" s="10"/>
      <c r="S188" s="10"/>
      <c r="T188" s="10"/>
      <c r="U188" s="10"/>
      <c r="V188" s="10"/>
      <c r="W188" s="10"/>
      <c r="X188" s="10"/>
      <c r="Y188" s="10"/>
      <c r="Z188" s="10"/>
      <c r="AA188" s="10"/>
    </row>
    <row r="189" spans="1:27">
      <c r="A189" s="12"/>
      <c r="B189" s="10"/>
      <c r="C189" s="10"/>
      <c r="D189" s="10"/>
      <c r="E189" s="10"/>
      <c r="F189" s="10"/>
      <c r="G189" s="10"/>
      <c r="H189" s="10"/>
      <c r="I189" s="10"/>
      <c r="J189" s="10"/>
      <c r="K189" s="10"/>
      <c r="L189" s="10"/>
      <c r="M189" s="10"/>
      <c r="N189" s="11"/>
      <c r="O189" s="10"/>
      <c r="P189" s="10"/>
      <c r="Q189" s="10"/>
      <c r="R189" s="10"/>
      <c r="S189" s="10"/>
      <c r="T189" s="10"/>
      <c r="U189" s="10"/>
      <c r="V189" s="10"/>
      <c r="W189" s="10"/>
      <c r="X189" s="10"/>
      <c r="Y189" s="10"/>
      <c r="Z189" s="10"/>
      <c r="AA189" s="10"/>
    </row>
    <row r="190" spans="1:27">
      <c r="A190" s="12"/>
      <c r="B190" s="10"/>
      <c r="C190" s="10"/>
      <c r="D190" s="10"/>
      <c r="E190" s="10"/>
      <c r="F190" s="10"/>
      <c r="G190" s="10"/>
      <c r="H190" s="10"/>
      <c r="I190" s="10"/>
      <c r="J190" s="10"/>
      <c r="K190" s="10"/>
      <c r="L190" s="10"/>
      <c r="M190" s="10"/>
      <c r="N190" s="11"/>
      <c r="O190" s="10"/>
      <c r="P190" s="10"/>
      <c r="Q190" s="10"/>
      <c r="R190" s="10"/>
      <c r="S190" s="10"/>
      <c r="T190" s="10"/>
      <c r="U190" s="10"/>
      <c r="V190" s="10"/>
      <c r="W190" s="10"/>
      <c r="X190" s="10"/>
      <c r="Y190" s="10"/>
      <c r="Z190" s="10"/>
      <c r="AA190" s="10"/>
    </row>
    <row r="191" spans="1:27">
      <c r="A191" s="12"/>
      <c r="B191" s="10"/>
      <c r="C191" s="10"/>
      <c r="D191" s="10"/>
      <c r="E191" s="10"/>
      <c r="F191" s="10"/>
      <c r="G191" s="10"/>
      <c r="H191" s="10"/>
      <c r="I191" s="10"/>
      <c r="J191" s="10"/>
      <c r="K191" s="10"/>
      <c r="L191" s="10"/>
      <c r="M191" s="10"/>
      <c r="N191" s="11"/>
      <c r="O191" s="10"/>
      <c r="P191" s="10"/>
      <c r="Q191" s="10"/>
      <c r="R191" s="10"/>
      <c r="S191" s="10"/>
      <c r="T191" s="10"/>
      <c r="U191" s="10"/>
      <c r="V191" s="10"/>
      <c r="W191" s="10"/>
      <c r="X191" s="10"/>
      <c r="Y191" s="10"/>
      <c r="Z191" s="10"/>
      <c r="AA191" s="10"/>
    </row>
    <row r="192" spans="1:27">
      <c r="A192" s="12"/>
      <c r="B192" s="10"/>
      <c r="C192" s="10"/>
      <c r="D192" s="10"/>
      <c r="E192" s="10"/>
      <c r="F192" s="10"/>
      <c r="G192" s="10"/>
      <c r="H192" s="10"/>
      <c r="I192" s="10"/>
      <c r="J192" s="10"/>
      <c r="K192" s="10"/>
      <c r="L192" s="10"/>
      <c r="M192" s="10"/>
      <c r="N192" s="11"/>
      <c r="O192" s="10"/>
      <c r="P192" s="10"/>
      <c r="Q192" s="10"/>
      <c r="R192" s="10"/>
      <c r="S192" s="10"/>
      <c r="T192" s="10"/>
      <c r="U192" s="10"/>
      <c r="V192" s="10"/>
      <c r="W192" s="10"/>
      <c r="X192" s="10"/>
      <c r="Y192" s="10"/>
      <c r="Z192" s="10"/>
      <c r="AA192" s="10"/>
    </row>
    <row r="193" spans="1:27">
      <c r="A193" s="80" t="s">
        <v>309</v>
      </c>
      <c r="B193" s="5"/>
      <c r="C193" s="5"/>
      <c r="D193" s="5"/>
      <c r="E193" s="79" t="s">
        <v>166</v>
      </c>
      <c r="F193" s="79"/>
      <c r="G193" s="79"/>
      <c r="H193" s="5"/>
      <c r="I193" s="5"/>
      <c r="J193" s="5"/>
      <c r="K193" s="5"/>
      <c r="L193" s="5"/>
      <c r="M193" s="5"/>
      <c r="N193" s="6"/>
      <c r="O193" s="10"/>
      <c r="P193" s="10"/>
      <c r="Q193" s="10"/>
      <c r="R193" s="10"/>
      <c r="S193" s="10"/>
      <c r="T193" s="10"/>
      <c r="U193" s="10"/>
      <c r="V193" s="10"/>
      <c r="W193" s="10"/>
      <c r="X193" s="10"/>
      <c r="Y193" s="10"/>
      <c r="Z193" s="10"/>
      <c r="AA193" s="10"/>
    </row>
    <row r="194" spans="1:27">
      <c r="A194" s="16" t="s">
        <v>57</v>
      </c>
      <c r="B194" s="111"/>
      <c r="C194" s="111"/>
      <c r="D194" s="111"/>
      <c r="E194" s="10" t="s">
        <v>154</v>
      </c>
      <c r="F194" s="10">
        <f>Reken!R9</f>
        <v>221.4</v>
      </c>
      <c r="G194" s="10" t="s">
        <v>3</v>
      </c>
      <c r="H194" s="10"/>
      <c r="I194" s="10"/>
      <c r="J194" s="10"/>
      <c r="K194" s="10"/>
      <c r="L194" s="10"/>
      <c r="M194" s="10"/>
      <c r="N194" s="11"/>
      <c r="O194" s="10"/>
      <c r="P194" s="10"/>
      <c r="Q194" s="10"/>
      <c r="R194" s="10"/>
      <c r="S194" s="10"/>
      <c r="T194" s="10"/>
      <c r="U194" s="10"/>
      <c r="V194" s="10"/>
      <c r="W194" s="10"/>
      <c r="X194" s="10"/>
      <c r="Y194" s="10"/>
      <c r="Z194" s="10"/>
      <c r="AA194" s="10"/>
    </row>
    <row r="195" spans="1:27">
      <c r="A195" s="4" t="s">
        <v>37</v>
      </c>
      <c r="B195" s="36">
        <v>3</v>
      </c>
      <c r="C195" s="6" t="s">
        <v>20</v>
      </c>
      <c r="D195" s="10"/>
      <c r="E195" s="10" t="s">
        <v>155</v>
      </c>
      <c r="F195" s="10">
        <f>Reken!R7</f>
        <v>225</v>
      </c>
      <c r="G195" s="10" t="s">
        <v>3</v>
      </c>
      <c r="H195" s="10"/>
      <c r="I195" s="10"/>
      <c r="J195" s="10"/>
      <c r="K195" s="10"/>
      <c r="L195" s="10"/>
      <c r="M195" s="10"/>
      <c r="N195" s="11"/>
      <c r="O195" s="10"/>
      <c r="P195" s="10"/>
      <c r="Q195" s="10"/>
      <c r="R195" s="10"/>
      <c r="S195" s="10"/>
      <c r="T195" s="10"/>
      <c r="U195" s="10"/>
      <c r="V195" s="10"/>
      <c r="W195" s="10"/>
      <c r="X195" s="10"/>
      <c r="Y195" s="10"/>
      <c r="Z195" s="10"/>
      <c r="AA195" s="10"/>
    </row>
    <row r="196" spans="1:27">
      <c r="A196" s="12" t="s">
        <v>38</v>
      </c>
      <c r="B196" s="112">
        <v>0.4</v>
      </c>
      <c r="C196" s="11" t="s">
        <v>8</v>
      </c>
      <c r="D196" s="10"/>
      <c r="E196" s="10"/>
      <c r="F196" s="10"/>
      <c r="G196" s="10"/>
      <c r="H196" s="10"/>
      <c r="I196" s="10"/>
      <c r="J196" s="10"/>
      <c r="K196" s="10"/>
      <c r="L196" s="10"/>
      <c r="M196" s="10"/>
      <c r="N196" s="11"/>
      <c r="O196" s="10"/>
      <c r="P196" s="10"/>
      <c r="Q196" s="10"/>
      <c r="R196" s="10"/>
      <c r="S196" s="10"/>
      <c r="T196" s="10"/>
      <c r="U196" s="10"/>
      <c r="V196" s="10"/>
      <c r="W196" s="10"/>
      <c r="X196" s="10"/>
      <c r="Y196" s="10"/>
      <c r="Z196" s="10"/>
      <c r="AA196" s="10"/>
    </row>
    <row r="197" spans="1:27">
      <c r="A197" s="7" t="s">
        <v>39</v>
      </c>
      <c r="B197" s="37">
        <v>1</v>
      </c>
      <c r="C197" s="9" t="s">
        <v>8</v>
      </c>
      <c r="D197" s="10"/>
      <c r="E197" s="10"/>
      <c r="F197" s="10"/>
      <c r="G197" s="10"/>
      <c r="H197" s="10"/>
      <c r="I197" s="10"/>
      <c r="J197" s="10"/>
      <c r="K197" s="10"/>
      <c r="L197" s="10"/>
      <c r="M197" s="10"/>
      <c r="N197" s="11"/>
      <c r="O197" s="10"/>
      <c r="P197" s="10"/>
      <c r="Q197" s="10"/>
      <c r="R197" s="10"/>
      <c r="S197" s="10"/>
      <c r="T197" s="10"/>
      <c r="U197" s="10"/>
      <c r="V197" s="10"/>
      <c r="W197" s="10"/>
      <c r="X197" s="10"/>
      <c r="Y197" s="10"/>
      <c r="Z197" s="10"/>
      <c r="AA197" s="10"/>
    </row>
    <row r="198" spans="1:27">
      <c r="A198" s="12" t="s">
        <v>151</v>
      </c>
      <c r="B198" s="10">
        <f>B197+(2*(B196*B195))</f>
        <v>3.4000000000000004</v>
      </c>
      <c r="C198" s="10" t="s">
        <v>8</v>
      </c>
      <c r="D198" s="10"/>
      <c r="E198" s="10"/>
      <c r="F198" s="10"/>
      <c r="G198" s="10"/>
      <c r="H198" s="10"/>
      <c r="I198" s="10"/>
      <c r="J198" s="10"/>
      <c r="K198" s="10"/>
      <c r="L198" s="10"/>
      <c r="M198" s="10"/>
      <c r="N198" s="11"/>
      <c r="O198" s="10"/>
      <c r="P198" s="10"/>
      <c r="Q198" s="10"/>
      <c r="R198" s="10"/>
      <c r="S198" s="10"/>
      <c r="T198" s="10"/>
      <c r="U198" s="10"/>
      <c r="V198" s="10"/>
      <c r="W198" s="10"/>
      <c r="X198" s="10"/>
      <c r="Y198" s="10"/>
      <c r="Z198" s="10"/>
      <c r="AA198" s="10"/>
    </row>
    <row r="199" spans="1:27">
      <c r="A199" s="12" t="s">
        <v>40</v>
      </c>
      <c r="B199" s="10">
        <f>(B197*B196)+((B196*B195)*B196)</f>
        <v>0.88000000000000012</v>
      </c>
      <c r="C199" s="10" t="s">
        <v>2</v>
      </c>
      <c r="D199" s="10"/>
      <c r="E199" s="10"/>
      <c r="F199" s="10"/>
      <c r="G199" s="10"/>
      <c r="H199" s="10"/>
      <c r="I199" s="10"/>
      <c r="J199" s="10"/>
      <c r="K199" s="10"/>
      <c r="L199" s="10"/>
      <c r="M199" s="10"/>
      <c r="N199" s="11"/>
      <c r="O199" s="10"/>
      <c r="P199" s="10"/>
      <c r="Q199" s="10"/>
      <c r="R199" s="10"/>
      <c r="S199" s="10"/>
      <c r="T199" s="10"/>
      <c r="U199" s="10"/>
      <c r="V199" s="10"/>
      <c r="W199" s="10"/>
      <c r="X199" s="10"/>
      <c r="Y199" s="10"/>
      <c r="Z199" s="10"/>
      <c r="AA199" s="10"/>
    </row>
    <row r="200" spans="1:27">
      <c r="A200" s="12" t="s">
        <v>36</v>
      </c>
      <c r="B200" s="10"/>
      <c r="C200" s="10" t="s">
        <v>2</v>
      </c>
      <c r="D200" s="10"/>
      <c r="E200" s="10"/>
      <c r="F200" s="10"/>
      <c r="G200" s="10"/>
      <c r="H200" s="10"/>
      <c r="I200" s="10"/>
      <c r="J200" s="10"/>
      <c r="K200" s="10"/>
      <c r="L200" s="10"/>
      <c r="M200" s="10"/>
      <c r="N200" s="11"/>
      <c r="O200" s="10"/>
      <c r="P200" s="10"/>
      <c r="Q200" s="10"/>
      <c r="R200" s="10"/>
      <c r="S200" s="10"/>
      <c r="T200" s="10"/>
      <c r="U200" s="10"/>
      <c r="V200" s="10"/>
      <c r="W200" s="10"/>
      <c r="X200" s="10"/>
      <c r="Y200" s="10"/>
      <c r="Z200" s="10"/>
      <c r="AA200" s="10"/>
    </row>
    <row r="201" spans="1:27">
      <c r="A201" s="16"/>
      <c r="B201" s="10"/>
      <c r="C201" s="10"/>
      <c r="D201" s="111"/>
      <c r="E201" s="10"/>
      <c r="F201" s="10"/>
      <c r="G201" s="10"/>
      <c r="H201" s="10"/>
      <c r="I201" s="10"/>
      <c r="J201" s="10"/>
      <c r="K201" s="10"/>
      <c r="L201" s="10"/>
      <c r="M201" s="10"/>
      <c r="N201" s="11"/>
      <c r="O201" s="10"/>
      <c r="P201" s="10"/>
      <c r="Q201" s="10"/>
      <c r="R201" s="10"/>
      <c r="S201" s="10"/>
      <c r="T201" s="10"/>
      <c r="U201" s="10"/>
      <c r="V201" s="10"/>
      <c r="W201" s="10"/>
      <c r="X201" s="10"/>
      <c r="Y201" s="10"/>
      <c r="Z201" s="10"/>
      <c r="AA201" s="10"/>
    </row>
    <row r="202" spans="1:27">
      <c r="A202" s="12"/>
      <c r="B202" s="10"/>
      <c r="C202" s="10"/>
      <c r="D202" s="10"/>
      <c r="E202" s="10"/>
      <c r="F202" s="10"/>
      <c r="G202" s="10"/>
      <c r="H202" s="10"/>
      <c r="I202" s="10"/>
      <c r="J202" s="10"/>
      <c r="K202" s="10"/>
      <c r="L202" s="10"/>
      <c r="M202" s="10"/>
      <c r="N202" s="11"/>
      <c r="O202" s="10"/>
      <c r="P202" s="10"/>
      <c r="Q202" s="10"/>
      <c r="R202" s="10"/>
      <c r="S202" s="10"/>
      <c r="T202" s="10"/>
      <c r="U202" s="10"/>
      <c r="V202" s="10"/>
      <c r="W202" s="10"/>
      <c r="X202" s="10"/>
      <c r="Y202" s="10"/>
      <c r="Z202" s="10"/>
      <c r="AA202" s="10"/>
    </row>
    <row r="203" spans="1:27">
      <c r="A203" s="12"/>
      <c r="B203" s="10"/>
      <c r="C203" s="10"/>
      <c r="D203" s="10"/>
      <c r="E203" s="10"/>
      <c r="F203" s="10"/>
      <c r="G203" s="10"/>
      <c r="H203" s="10"/>
      <c r="I203" s="10"/>
      <c r="J203" s="10"/>
      <c r="K203" s="10"/>
      <c r="L203" s="10"/>
      <c r="M203" s="10"/>
      <c r="N203" s="11"/>
      <c r="O203" s="10"/>
      <c r="P203" s="10"/>
      <c r="Q203" s="10"/>
      <c r="R203" s="10"/>
      <c r="S203" s="10"/>
      <c r="T203" s="10"/>
      <c r="U203" s="10"/>
      <c r="V203" s="10"/>
      <c r="W203" s="10"/>
      <c r="X203" s="10"/>
      <c r="Y203" s="10"/>
      <c r="Z203" s="10"/>
      <c r="AA203" s="10"/>
    </row>
    <row r="204" spans="1:27">
      <c r="A204" s="13" t="s">
        <v>25</v>
      </c>
      <c r="B204" s="14"/>
      <c r="C204" s="15"/>
      <c r="D204" s="10"/>
      <c r="E204" s="10"/>
      <c r="F204" s="10"/>
      <c r="G204" s="10"/>
      <c r="H204" s="10"/>
      <c r="I204" s="10"/>
      <c r="J204" s="10"/>
      <c r="K204" s="10"/>
      <c r="L204" s="10"/>
      <c r="M204" s="10"/>
      <c r="N204" s="11"/>
      <c r="O204" s="10"/>
      <c r="P204" s="10"/>
      <c r="Q204" s="10"/>
      <c r="R204" s="10"/>
      <c r="S204" s="10"/>
      <c r="T204" s="10"/>
      <c r="U204" s="10"/>
      <c r="V204" s="10"/>
      <c r="W204" s="10"/>
      <c r="X204" s="10"/>
      <c r="Y204" s="10"/>
      <c r="Z204" s="10"/>
      <c r="AA204" s="10"/>
    </row>
    <row r="205" spans="1:27">
      <c r="A205" s="16" t="s">
        <v>26</v>
      </c>
      <c r="B205" s="10">
        <f>IF('Invoer factoren'!$M$19="X",$F$194+$F$195,$F$194)</f>
        <v>221.4</v>
      </c>
      <c r="C205" s="11" t="s">
        <v>3</v>
      </c>
      <c r="D205" s="10"/>
      <c r="E205" s="10"/>
      <c r="F205" s="10"/>
      <c r="G205" s="10"/>
      <c r="H205" s="10"/>
      <c r="I205" s="10"/>
      <c r="J205" s="10"/>
      <c r="K205" s="10"/>
      <c r="L205" s="10"/>
      <c r="M205" s="10"/>
      <c r="N205" s="11"/>
      <c r="O205" s="10"/>
      <c r="P205" s="10"/>
      <c r="Q205" s="10"/>
      <c r="R205" s="10"/>
      <c r="S205" s="10"/>
      <c r="T205" s="10"/>
      <c r="U205" s="10"/>
      <c r="V205" s="10"/>
      <c r="W205" s="10"/>
      <c r="X205" s="10"/>
      <c r="Y205" s="10"/>
      <c r="Z205" s="10"/>
      <c r="AA205" s="10"/>
    </row>
    <row r="206" spans="1:27">
      <c r="A206" s="21" t="s">
        <v>27</v>
      </c>
      <c r="B206" s="5">
        <f>C11</f>
        <v>75</v>
      </c>
      <c r="C206" s="6" t="s">
        <v>2</v>
      </c>
      <c r="D206" s="10"/>
      <c r="E206" s="10"/>
      <c r="F206" s="10"/>
      <c r="G206" s="10"/>
      <c r="H206" s="10"/>
      <c r="I206" s="10"/>
      <c r="J206" s="10"/>
      <c r="K206" s="10"/>
      <c r="L206" s="10"/>
      <c r="M206" s="10"/>
      <c r="N206" s="11"/>
      <c r="O206" s="10"/>
      <c r="P206" s="10"/>
      <c r="Q206" s="10"/>
      <c r="R206" s="10"/>
      <c r="S206" s="10"/>
      <c r="T206" s="10"/>
      <c r="U206" s="10"/>
      <c r="V206" s="10"/>
      <c r="W206" s="10"/>
      <c r="X206" s="10"/>
      <c r="Y206" s="10"/>
      <c r="Z206" s="10"/>
      <c r="AA206" s="10"/>
    </row>
    <row r="207" spans="1:27">
      <c r="A207" s="120" t="s">
        <v>186</v>
      </c>
      <c r="B207" s="10">
        <f>D11</f>
        <v>75</v>
      </c>
      <c r="C207" s="11" t="s">
        <v>2</v>
      </c>
      <c r="D207" s="10"/>
      <c r="E207" s="10"/>
      <c r="F207" s="10"/>
      <c r="G207" s="10"/>
      <c r="H207" s="10"/>
      <c r="I207" s="10"/>
      <c r="J207" s="10"/>
      <c r="K207" s="10"/>
      <c r="L207" s="10"/>
      <c r="M207" s="10"/>
      <c r="N207" s="11"/>
      <c r="O207" s="10"/>
      <c r="P207" s="10"/>
      <c r="Q207" s="10"/>
      <c r="R207" s="10"/>
      <c r="S207" s="10"/>
      <c r="T207" s="10"/>
      <c r="U207" s="10"/>
      <c r="V207" s="10"/>
      <c r="W207" s="10"/>
      <c r="X207" s="10"/>
      <c r="Y207" s="10"/>
      <c r="Z207" s="10"/>
      <c r="AA207" s="10"/>
    </row>
    <row r="208" spans="1:27">
      <c r="A208" s="120" t="s">
        <v>187</v>
      </c>
      <c r="B208" s="10">
        <f>E11</f>
        <v>75</v>
      </c>
      <c r="C208" s="11" t="s">
        <v>2</v>
      </c>
      <c r="D208" s="10"/>
      <c r="E208" s="10"/>
      <c r="F208" s="10"/>
      <c r="G208" s="10"/>
      <c r="H208" s="10"/>
      <c r="I208" s="10"/>
      <c r="J208" s="10"/>
      <c r="K208" s="10"/>
      <c r="L208" s="10"/>
      <c r="M208" s="10"/>
      <c r="N208" s="11"/>
      <c r="O208" s="10"/>
      <c r="P208" s="10"/>
      <c r="Q208" s="10"/>
      <c r="R208" s="10"/>
      <c r="S208" s="10"/>
      <c r="T208" s="10"/>
      <c r="U208" s="10"/>
      <c r="V208" s="10"/>
      <c r="W208" s="10"/>
      <c r="X208" s="10"/>
      <c r="Y208" s="10"/>
      <c r="Z208" s="10"/>
      <c r="AA208" s="10"/>
    </row>
    <row r="209" spans="1:27">
      <c r="A209" s="54" t="s">
        <v>18</v>
      </c>
      <c r="B209" s="8">
        <f>B214/B205</f>
        <v>289.77272727272725</v>
      </c>
      <c r="C209" s="9" t="s">
        <v>66</v>
      </c>
      <c r="D209" s="10"/>
      <c r="E209" s="10"/>
      <c r="F209" s="10"/>
      <c r="G209" s="10"/>
      <c r="H209" s="10"/>
      <c r="I209" s="10"/>
      <c r="J209" s="10"/>
      <c r="K209" s="10"/>
      <c r="L209" s="10"/>
      <c r="M209" s="10"/>
      <c r="N209" s="11"/>
      <c r="O209" s="10"/>
      <c r="P209" s="10"/>
      <c r="Q209" s="10"/>
      <c r="R209" s="10"/>
      <c r="S209" s="10"/>
      <c r="T209" s="10"/>
      <c r="U209" s="10"/>
      <c r="V209" s="10"/>
      <c r="W209" s="10"/>
      <c r="X209" s="10"/>
      <c r="Y209" s="10"/>
      <c r="Z209" s="10"/>
      <c r="AA209" s="10"/>
    </row>
    <row r="210" spans="1:27">
      <c r="A210" s="21" t="s">
        <v>71</v>
      </c>
      <c r="B210" s="5">
        <f>Reken!H11</f>
        <v>0.75</v>
      </c>
      <c r="C210" s="6" t="s">
        <v>2</v>
      </c>
      <c r="D210" s="10"/>
      <c r="E210" s="10"/>
      <c r="F210" s="10"/>
      <c r="G210" s="10"/>
      <c r="H210" s="10"/>
      <c r="I210" s="10"/>
      <c r="J210" s="10"/>
      <c r="K210" s="10"/>
      <c r="L210" s="10"/>
      <c r="M210" s="10"/>
      <c r="N210" s="11"/>
      <c r="O210" s="10"/>
      <c r="P210" s="10"/>
      <c r="Q210" s="10"/>
      <c r="R210" s="10"/>
      <c r="S210" s="10"/>
      <c r="T210" s="10"/>
      <c r="U210" s="10"/>
      <c r="V210" s="10"/>
      <c r="W210" s="10"/>
      <c r="X210" s="10"/>
      <c r="Y210" s="10"/>
      <c r="Z210" s="10"/>
      <c r="AA210" s="10"/>
    </row>
    <row r="211" spans="1:27">
      <c r="A211" s="16" t="s">
        <v>72</v>
      </c>
      <c r="B211" s="10">
        <f>B210*B213</f>
        <v>641.55681818181813</v>
      </c>
      <c r="C211" s="11" t="s">
        <v>66</v>
      </c>
      <c r="D211" s="10"/>
      <c r="E211" s="10"/>
      <c r="F211" s="10"/>
      <c r="G211" s="10"/>
      <c r="H211" s="10"/>
      <c r="I211" s="10"/>
      <c r="J211" s="10"/>
      <c r="K211" s="10"/>
      <c r="L211" s="10"/>
      <c r="M211" s="10"/>
      <c r="N211" s="11"/>
      <c r="O211" s="10"/>
      <c r="P211" s="10"/>
      <c r="Q211" s="10"/>
      <c r="R211" s="10"/>
      <c r="S211" s="10"/>
      <c r="T211" s="10"/>
      <c r="U211" s="10"/>
      <c r="V211" s="10"/>
      <c r="W211" s="10"/>
      <c r="X211" s="10"/>
      <c r="Y211" s="10"/>
      <c r="Z211" s="10"/>
      <c r="AA211" s="10"/>
    </row>
    <row r="212" spans="1:27">
      <c r="A212" s="21" t="s">
        <v>152</v>
      </c>
      <c r="B212" s="5">
        <f>(B205/B199)</f>
        <v>251.59090909090907</v>
      </c>
      <c r="C212" s="53" t="s">
        <v>50</v>
      </c>
      <c r="D212" s="10"/>
      <c r="E212" s="10"/>
      <c r="F212" s="10"/>
      <c r="G212" s="10"/>
      <c r="H212" s="10"/>
      <c r="I212" s="10"/>
      <c r="J212" s="10"/>
      <c r="K212" s="10"/>
      <c r="L212" s="10"/>
      <c r="M212" s="10"/>
      <c r="N212" s="11"/>
      <c r="O212" s="10"/>
      <c r="P212" s="10"/>
      <c r="Q212" s="10"/>
      <c r="R212" s="10"/>
      <c r="S212" s="10"/>
      <c r="T212" s="10"/>
      <c r="U212" s="10"/>
      <c r="V212" s="10"/>
      <c r="W212" s="10"/>
      <c r="X212" s="10"/>
      <c r="Y212" s="10"/>
      <c r="Z212" s="10"/>
      <c r="AA212" s="10"/>
    </row>
    <row r="213" spans="1:27">
      <c r="A213" s="16" t="s">
        <v>153</v>
      </c>
      <c r="B213" s="10">
        <f>(B205/B199)*B198</f>
        <v>855.40909090909088</v>
      </c>
      <c r="C213" s="58" t="s">
        <v>2</v>
      </c>
      <c r="D213" s="10"/>
      <c r="E213" s="10"/>
      <c r="F213" s="10"/>
      <c r="G213" s="10"/>
      <c r="H213" s="10"/>
      <c r="I213" s="10"/>
      <c r="J213" s="10"/>
      <c r="K213" s="10"/>
      <c r="L213" s="10"/>
      <c r="M213" s="10"/>
      <c r="N213" s="11"/>
      <c r="O213" s="10"/>
      <c r="P213" s="10"/>
      <c r="Q213" s="10"/>
      <c r="R213" s="10"/>
      <c r="S213" s="10"/>
      <c r="T213" s="10"/>
      <c r="U213" s="10"/>
      <c r="V213" s="10"/>
      <c r="W213" s="10"/>
      <c r="X213" s="10"/>
      <c r="Y213" s="10"/>
      <c r="Z213" s="10"/>
      <c r="AA213" s="10"/>
    </row>
    <row r="214" spans="1:27">
      <c r="A214" s="121" t="s">
        <v>160</v>
      </c>
      <c r="B214" s="5">
        <f>B213*B206</f>
        <v>64155.681818181816</v>
      </c>
      <c r="C214" s="6" t="s">
        <v>66</v>
      </c>
      <c r="D214" s="10"/>
      <c r="E214" s="10"/>
      <c r="F214" s="10"/>
      <c r="G214" s="10"/>
      <c r="H214" s="10"/>
      <c r="I214" s="10"/>
      <c r="J214" s="10"/>
      <c r="K214" s="10"/>
      <c r="L214" s="10"/>
      <c r="M214" s="10"/>
      <c r="N214" s="11"/>
      <c r="O214" s="10"/>
      <c r="P214" s="10"/>
      <c r="Q214" s="10"/>
      <c r="R214" s="10"/>
      <c r="S214" s="10"/>
      <c r="T214" s="10"/>
      <c r="U214" s="10"/>
      <c r="V214" s="10"/>
      <c r="W214" s="10"/>
      <c r="X214" s="10"/>
      <c r="Y214" s="10"/>
      <c r="Z214" s="10"/>
      <c r="AA214" s="10"/>
    </row>
    <row r="215" spans="1:27">
      <c r="A215" s="16" t="s">
        <v>182</v>
      </c>
      <c r="B215" s="10">
        <f>B213*B207</f>
        <v>64155.681818181816</v>
      </c>
      <c r="C215" s="11" t="s">
        <v>66</v>
      </c>
      <c r="D215" s="10"/>
      <c r="E215" s="10"/>
      <c r="F215" s="10"/>
      <c r="G215" s="10"/>
      <c r="H215" s="10"/>
      <c r="I215" s="10"/>
      <c r="J215" s="10"/>
      <c r="K215" s="10"/>
      <c r="L215" s="10"/>
      <c r="M215" s="10"/>
      <c r="N215" s="11"/>
      <c r="O215" s="10"/>
      <c r="P215" s="10"/>
      <c r="Q215" s="10"/>
      <c r="R215" s="10"/>
      <c r="S215" s="10"/>
      <c r="T215" s="10"/>
      <c r="U215" s="10"/>
      <c r="V215" s="10"/>
      <c r="W215" s="10"/>
      <c r="X215" s="10"/>
      <c r="Y215" s="10"/>
      <c r="Z215" s="10"/>
      <c r="AA215" s="10"/>
    </row>
    <row r="216" spans="1:27">
      <c r="A216" s="49" t="s">
        <v>183</v>
      </c>
      <c r="B216" s="8">
        <f>B213*B208</f>
        <v>64155.681818181816</v>
      </c>
      <c r="C216" s="9" t="s">
        <v>66</v>
      </c>
      <c r="D216" s="10"/>
      <c r="E216" s="10"/>
      <c r="F216" s="10"/>
      <c r="G216" s="10"/>
      <c r="H216" s="10"/>
      <c r="I216" s="10"/>
      <c r="J216" s="10"/>
      <c r="K216" s="10"/>
      <c r="L216" s="10"/>
      <c r="M216" s="10"/>
      <c r="N216" s="11"/>
      <c r="O216" s="10"/>
      <c r="P216" s="10"/>
      <c r="Q216" s="10"/>
      <c r="R216" s="10"/>
      <c r="S216" s="10"/>
      <c r="T216" s="10"/>
      <c r="U216" s="10"/>
      <c r="V216" s="10"/>
      <c r="W216" s="10"/>
      <c r="X216" s="10"/>
      <c r="Y216" s="10"/>
      <c r="Z216" s="10"/>
      <c r="AA216" s="10"/>
    </row>
    <row r="217" spans="1:27">
      <c r="A217" s="12"/>
      <c r="B217" s="10"/>
      <c r="C217" s="10"/>
      <c r="D217" s="118"/>
      <c r="E217" s="10"/>
      <c r="F217" s="10"/>
      <c r="G217" s="10"/>
      <c r="H217" s="10"/>
      <c r="I217" s="10"/>
      <c r="J217" s="10"/>
      <c r="K217" s="10"/>
      <c r="L217" s="10"/>
      <c r="M217" s="10"/>
      <c r="N217" s="11"/>
      <c r="O217" s="10"/>
      <c r="P217" s="10"/>
      <c r="Q217" s="10"/>
      <c r="R217" s="10"/>
      <c r="S217" s="10"/>
      <c r="T217" s="10"/>
      <c r="U217" s="10"/>
      <c r="V217" s="10"/>
      <c r="W217" s="10"/>
      <c r="X217" s="10"/>
      <c r="Y217" s="10"/>
      <c r="Z217" s="10"/>
      <c r="AA217" s="10"/>
    </row>
    <row r="218" spans="1:27">
      <c r="A218" s="12"/>
      <c r="B218" s="10"/>
      <c r="C218" s="10"/>
      <c r="D218" s="10"/>
      <c r="E218" s="10"/>
      <c r="F218" s="10"/>
      <c r="G218" s="10"/>
      <c r="H218" s="10"/>
      <c r="I218" s="10"/>
      <c r="J218" s="10"/>
      <c r="K218" s="10"/>
      <c r="L218" s="10"/>
      <c r="M218" s="10"/>
      <c r="N218" s="11"/>
      <c r="O218" s="10"/>
      <c r="P218" s="10"/>
      <c r="Q218" s="10"/>
      <c r="R218" s="10"/>
      <c r="S218" s="10"/>
      <c r="T218" s="10"/>
      <c r="U218" s="10"/>
      <c r="V218" s="10"/>
      <c r="W218" s="10"/>
      <c r="X218" s="10"/>
      <c r="Y218" s="10"/>
      <c r="Z218" s="10"/>
      <c r="AA218" s="10"/>
    </row>
    <row r="219" spans="1:27">
      <c r="A219" s="12"/>
      <c r="B219" s="10"/>
      <c r="C219" s="10"/>
      <c r="D219" s="10"/>
      <c r="E219" s="10"/>
      <c r="F219" s="10"/>
      <c r="G219" s="10"/>
      <c r="H219" s="10"/>
      <c r="I219" s="10"/>
      <c r="J219" s="10"/>
      <c r="K219" s="10"/>
      <c r="L219" s="10"/>
      <c r="M219" s="10"/>
      <c r="N219" s="11"/>
      <c r="O219" s="10"/>
      <c r="P219" s="10"/>
      <c r="Q219" s="10"/>
      <c r="R219" s="10"/>
      <c r="S219" s="10"/>
      <c r="T219" s="10"/>
      <c r="U219" s="10"/>
      <c r="V219" s="10"/>
      <c r="W219" s="10"/>
      <c r="X219" s="10"/>
      <c r="Y219" s="10"/>
      <c r="Z219" s="10"/>
      <c r="AA219" s="10"/>
    </row>
    <row r="220" spans="1:27">
      <c r="A220" s="12"/>
      <c r="B220" s="10"/>
      <c r="C220" s="10"/>
      <c r="D220" s="10"/>
      <c r="E220" s="10"/>
      <c r="F220" s="10"/>
      <c r="G220" s="10"/>
      <c r="H220" s="10"/>
      <c r="I220" s="10"/>
      <c r="J220" s="10"/>
      <c r="K220" s="10"/>
      <c r="L220" s="10"/>
      <c r="M220" s="10"/>
      <c r="N220" s="11"/>
      <c r="O220" s="10"/>
      <c r="P220" s="10"/>
      <c r="Q220" s="10"/>
      <c r="R220" s="10"/>
      <c r="S220" s="10"/>
      <c r="T220" s="10"/>
      <c r="U220" s="10"/>
      <c r="V220" s="10"/>
      <c r="W220" s="10"/>
      <c r="X220" s="10"/>
      <c r="Y220" s="10"/>
      <c r="Z220" s="10"/>
      <c r="AA220" s="10"/>
    </row>
    <row r="221" spans="1:27">
      <c r="A221" s="16"/>
      <c r="B221" s="10"/>
      <c r="C221" s="28"/>
      <c r="D221" s="118"/>
      <c r="E221" s="10"/>
      <c r="F221" s="10"/>
      <c r="G221" s="10"/>
      <c r="H221" s="10"/>
      <c r="I221" s="10"/>
      <c r="J221" s="10"/>
      <c r="K221" s="10"/>
      <c r="L221" s="10"/>
      <c r="M221" s="10"/>
      <c r="N221" s="11"/>
      <c r="O221" s="10"/>
      <c r="P221" s="10"/>
      <c r="Q221" s="10"/>
      <c r="R221" s="10"/>
      <c r="S221" s="10"/>
      <c r="T221" s="10"/>
      <c r="U221" s="10"/>
      <c r="V221" s="10"/>
      <c r="W221" s="10"/>
      <c r="X221" s="10"/>
      <c r="Y221" s="10"/>
      <c r="Z221" s="10"/>
      <c r="AA221" s="10"/>
    </row>
    <row r="222" spans="1:27">
      <c r="A222" s="120"/>
      <c r="B222" s="10"/>
      <c r="C222" s="10"/>
      <c r="D222" s="10"/>
      <c r="E222" s="10"/>
      <c r="F222" s="10"/>
      <c r="G222" s="10"/>
      <c r="H222" s="10"/>
      <c r="I222" s="10"/>
      <c r="J222" s="10"/>
      <c r="K222" s="10"/>
      <c r="L222" s="10"/>
      <c r="M222" s="10"/>
      <c r="N222" s="11"/>
      <c r="O222" s="10"/>
      <c r="P222" s="10"/>
      <c r="Q222" s="10"/>
      <c r="R222" s="10"/>
      <c r="S222" s="10"/>
      <c r="T222" s="10"/>
      <c r="U222" s="10"/>
      <c r="V222" s="10"/>
      <c r="W222" s="10"/>
      <c r="X222" s="10"/>
      <c r="Y222" s="10"/>
      <c r="Z222" s="10"/>
      <c r="AA222" s="10"/>
    </row>
    <row r="223" spans="1:27">
      <c r="A223" s="12"/>
      <c r="B223" s="10"/>
      <c r="C223" s="10"/>
      <c r="D223" s="10"/>
      <c r="E223" s="10"/>
      <c r="F223" s="10"/>
      <c r="G223" s="10"/>
      <c r="H223" s="10"/>
      <c r="I223" s="10"/>
      <c r="J223" s="10"/>
      <c r="K223" s="10"/>
      <c r="L223" s="10"/>
      <c r="M223" s="10"/>
      <c r="N223" s="11"/>
      <c r="O223" s="10"/>
      <c r="P223" s="10"/>
      <c r="Q223" s="10"/>
      <c r="R223" s="10"/>
      <c r="S223" s="10"/>
      <c r="T223" s="10"/>
      <c r="U223" s="10"/>
      <c r="V223" s="10"/>
      <c r="W223" s="10"/>
      <c r="X223" s="10"/>
      <c r="Y223" s="10"/>
      <c r="Z223" s="10"/>
      <c r="AA223" s="10"/>
    </row>
    <row r="224" spans="1:27">
      <c r="A224" s="12"/>
      <c r="B224" s="10"/>
      <c r="C224" s="10"/>
      <c r="D224" s="10"/>
      <c r="E224" s="10"/>
      <c r="F224" s="10"/>
      <c r="G224" s="10"/>
      <c r="H224" s="10"/>
      <c r="I224" s="10"/>
      <c r="J224" s="10"/>
      <c r="K224" s="10"/>
      <c r="L224" s="10"/>
      <c r="M224" s="10"/>
      <c r="N224" s="11"/>
      <c r="O224" s="10"/>
      <c r="P224" s="10"/>
      <c r="Q224" s="10"/>
      <c r="R224" s="10"/>
      <c r="S224" s="10"/>
      <c r="T224" s="10"/>
      <c r="U224" s="10"/>
      <c r="V224" s="10"/>
      <c r="W224" s="10"/>
      <c r="X224" s="10"/>
      <c r="Y224" s="10"/>
      <c r="Z224" s="10"/>
      <c r="AA224" s="10"/>
    </row>
    <row r="225" spans="1:27">
      <c r="A225" s="80" t="s">
        <v>310</v>
      </c>
      <c r="B225" s="5"/>
      <c r="C225" s="5"/>
      <c r="D225" s="5"/>
      <c r="E225" s="79" t="s">
        <v>166</v>
      </c>
      <c r="F225" s="5"/>
      <c r="G225" s="5"/>
      <c r="H225" s="5"/>
      <c r="I225" s="5"/>
      <c r="J225" s="5"/>
      <c r="K225" s="5"/>
      <c r="L225" s="5"/>
      <c r="M225" s="5"/>
      <c r="N225" s="6"/>
      <c r="O225" s="10"/>
      <c r="P225" s="10"/>
      <c r="Q225" s="10"/>
      <c r="R225" s="10"/>
      <c r="S225" s="10"/>
      <c r="T225" s="10"/>
      <c r="U225" s="10"/>
      <c r="V225" s="10"/>
      <c r="W225" s="10"/>
      <c r="X225" s="10"/>
      <c r="Y225" s="10"/>
      <c r="Z225" s="10"/>
      <c r="AA225" s="10"/>
    </row>
    <row r="226" spans="1:27">
      <c r="A226" s="16" t="s">
        <v>58</v>
      </c>
      <c r="B226" s="111"/>
      <c r="C226" s="111"/>
      <c r="D226" s="111"/>
      <c r="E226" s="10" t="s">
        <v>154</v>
      </c>
      <c r="F226" s="10">
        <f>Reken!R9</f>
        <v>221.4</v>
      </c>
      <c r="G226" s="10" t="s">
        <v>3</v>
      </c>
      <c r="H226" s="10"/>
      <c r="I226" s="10"/>
      <c r="J226" s="10"/>
      <c r="K226" s="10"/>
      <c r="L226" s="10"/>
      <c r="M226" s="10"/>
      <c r="N226" s="11"/>
      <c r="O226" s="10"/>
      <c r="P226" s="10"/>
      <c r="Q226" s="10"/>
      <c r="R226" s="10"/>
      <c r="S226" s="10"/>
      <c r="T226" s="10"/>
      <c r="U226" s="10"/>
      <c r="V226" s="10"/>
      <c r="W226" s="10"/>
      <c r="X226" s="10"/>
      <c r="Y226" s="10"/>
      <c r="Z226" s="10"/>
      <c r="AA226" s="10"/>
    </row>
    <row r="227" spans="1:27">
      <c r="A227" s="4" t="s">
        <v>59</v>
      </c>
      <c r="B227" s="36">
        <v>0.5</v>
      </c>
      <c r="C227" s="6" t="s">
        <v>8</v>
      </c>
      <c r="D227" s="10"/>
      <c r="E227" s="10" t="s">
        <v>155</v>
      </c>
      <c r="F227" s="10">
        <f>Reken!R7</f>
        <v>225</v>
      </c>
      <c r="G227" s="10" t="s">
        <v>3</v>
      </c>
      <c r="H227" s="10"/>
      <c r="I227" s="10"/>
      <c r="J227" s="10"/>
      <c r="K227" s="10"/>
      <c r="L227" s="10"/>
      <c r="M227" s="10"/>
      <c r="N227" s="11"/>
      <c r="O227" s="10"/>
      <c r="P227" s="10"/>
      <c r="Q227" s="10"/>
      <c r="R227" s="10"/>
      <c r="S227" s="10"/>
      <c r="T227" s="10"/>
      <c r="U227" s="10"/>
      <c r="V227" s="10"/>
      <c r="W227" s="10"/>
      <c r="X227" s="10"/>
      <c r="Y227" s="10"/>
      <c r="Z227" s="10"/>
      <c r="AA227" s="10"/>
    </row>
    <row r="228" spans="1:27">
      <c r="A228" s="7" t="s">
        <v>24</v>
      </c>
      <c r="B228" s="37">
        <v>0.38</v>
      </c>
      <c r="C228" s="9" t="s">
        <v>20</v>
      </c>
      <c r="D228" s="10"/>
      <c r="E228" s="10"/>
      <c r="F228" s="10"/>
      <c r="G228" s="10"/>
      <c r="H228" s="10"/>
      <c r="I228" s="10"/>
      <c r="J228" s="10"/>
      <c r="K228" s="10"/>
      <c r="L228" s="10"/>
      <c r="M228" s="10"/>
      <c r="N228" s="11"/>
      <c r="O228" s="10"/>
      <c r="P228" s="10"/>
      <c r="Q228" s="10"/>
      <c r="R228" s="10"/>
      <c r="S228" s="10"/>
      <c r="T228" s="10"/>
      <c r="U228" s="10"/>
      <c r="V228" s="10"/>
      <c r="W228" s="10"/>
      <c r="X228" s="10"/>
      <c r="Y228" s="10"/>
      <c r="Z228" s="10"/>
      <c r="AA228" s="10"/>
    </row>
    <row r="229" spans="1:27">
      <c r="A229" s="12" t="s">
        <v>36</v>
      </c>
      <c r="B229" s="10"/>
      <c r="C229" s="10" t="s">
        <v>2</v>
      </c>
      <c r="D229" s="10"/>
      <c r="E229" s="10"/>
      <c r="F229" s="10"/>
      <c r="G229" s="10"/>
      <c r="H229" s="10"/>
      <c r="I229" s="10"/>
      <c r="J229" s="10"/>
      <c r="K229" s="10"/>
      <c r="L229" s="10"/>
      <c r="M229" s="10"/>
      <c r="N229" s="11"/>
      <c r="O229" s="10"/>
      <c r="P229" s="10"/>
      <c r="Q229" s="10"/>
      <c r="R229" s="10"/>
      <c r="S229" s="10"/>
      <c r="T229" s="10"/>
      <c r="U229" s="10"/>
      <c r="V229" s="10"/>
      <c r="W229" s="10"/>
      <c r="X229" s="10"/>
      <c r="Y229" s="10"/>
      <c r="Z229" s="10"/>
      <c r="AA229" s="10"/>
    </row>
    <row r="230" spans="1:27">
      <c r="A230" s="173" t="s">
        <v>167</v>
      </c>
      <c r="B230" s="10">
        <f>0.5*B228</f>
        <v>0.19</v>
      </c>
      <c r="C230" s="10" t="s">
        <v>3</v>
      </c>
      <c r="D230" s="10"/>
      <c r="E230" s="10"/>
      <c r="F230" s="10"/>
      <c r="G230" s="10"/>
      <c r="H230" s="10"/>
      <c r="I230" s="10"/>
      <c r="J230" s="10"/>
      <c r="K230" s="10"/>
      <c r="L230" s="10"/>
      <c r="M230" s="10"/>
      <c r="N230" s="11"/>
      <c r="O230" s="10"/>
      <c r="P230" s="10"/>
      <c r="Q230" s="10"/>
      <c r="R230" s="10"/>
      <c r="S230" s="10"/>
      <c r="T230" s="10"/>
      <c r="U230" s="10"/>
      <c r="V230" s="10"/>
      <c r="W230" s="10"/>
      <c r="X230" s="10"/>
      <c r="Y230" s="10"/>
      <c r="Z230" s="10"/>
      <c r="AA230" s="10"/>
    </row>
    <row r="231" spans="1:27">
      <c r="A231" s="12"/>
      <c r="B231" s="10"/>
      <c r="C231" s="10"/>
      <c r="D231" s="10"/>
      <c r="E231" s="10"/>
      <c r="F231" s="10"/>
      <c r="G231" s="10"/>
      <c r="H231" s="10"/>
      <c r="I231" s="10"/>
      <c r="J231" s="10"/>
      <c r="K231" s="10"/>
      <c r="L231" s="10"/>
      <c r="M231" s="10"/>
      <c r="N231" s="11"/>
      <c r="O231" s="10"/>
      <c r="P231" s="10"/>
      <c r="Q231" s="10"/>
      <c r="R231" s="10"/>
      <c r="S231" s="10"/>
      <c r="T231" s="10"/>
      <c r="U231" s="10"/>
      <c r="V231" s="10"/>
      <c r="W231" s="10"/>
      <c r="X231" s="10"/>
      <c r="Y231" s="10"/>
      <c r="Z231" s="10"/>
      <c r="AA231" s="10"/>
    </row>
    <row r="232" spans="1:27">
      <c r="A232" s="12"/>
      <c r="B232" s="10"/>
      <c r="C232" s="10"/>
      <c r="D232" s="10"/>
      <c r="E232" s="10"/>
      <c r="F232" s="10"/>
      <c r="G232" s="10"/>
      <c r="H232" s="10"/>
      <c r="I232" s="10"/>
      <c r="J232" s="10"/>
      <c r="K232" s="10"/>
      <c r="L232" s="10"/>
      <c r="M232" s="10"/>
      <c r="N232" s="11"/>
      <c r="O232" s="10"/>
      <c r="P232" s="10"/>
      <c r="Q232" s="10"/>
      <c r="R232" s="10"/>
      <c r="S232" s="10"/>
      <c r="T232" s="10"/>
      <c r="U232" s="10"/>
      <c r="V232" s="10"/>
      <c r="W232" s="10"/>
      <c r="X232" s="10"/>
      <c r="Y232" s="10"/>
      <c r="Z232" s="10"/>
      <c r="AA232" s="10"/>
    </row>
    <row r="233" spans="1:27">
      <c r="A233" s="12"/>
      <c r="B233" s="10"/>
      <c r="C233" s="10"/>
      <c r="D233" s="10"/>
      <c r="E233" s="10"/>
      <c r="F233" s="10"/>
      <c r="G233" s="10"/>
      <c r="H233" s="10"/>
      <c r="I233" s="10"/>
      <c r="J233" s="10"/>
      <c r="K233" s="10"/>
      <c r="L233" s="10"/>
      <c r="M233" s="10"/>
      <c r="N233" s="11"/>
      <c r="O233" s="10"/>
      <c r="P233" s="10"/>
      <c r="Q233" s="10"/>
      <c r="R233" s="10"/>
      <c r="S233" s="10"/>
      <c r="T233" s="10"/>
      <c r="U233" s="10"/>
      <c r="V233" s="10"/>
      <c r="W233" s="10"/>
      <c r="X233" s="10"/>
      <c r="Y233" s="10"/>
      <c r="Z233" s="10"/>
      <c r="AA233" s="10"/>
    </row>
    <row r="234" spans="1:27">
      <c r="A234" s="12"/>
      <c r="B234" s="10"/>
      <c r="C234" s="10"/>
      <c r="D234" s="10"/>
      <c r="E234" s="10"/>
      <c r="F234" s="10"/>
      <c r="G234" s="10"/>
      <c r="H234" s="10"/>
      <c r="I234" s="10"/>
      <c r="J234" s="10"/>
      <c r="K234" s="10"/>
      <c r="L234" s="10"/>
      <c r="M234" s="10"/>
      <c r="N234" s="11"/>
      <c r="O234" s="10"/>
      <c r="P234" s="10"/>
      <c r="Q234" s="10"/>
      <c r="R234" s="10"/>
      <c r="S234" s="10"/>
      <c r="T234" s="10"/>
      <c r="U234" s="10"/>
      <c r="V234" s="10"/>
      <c r="W234" s="10"/>
      <c r="X234" s="10"/>
      <c r="Y234" s="10"/>
      <c r="Z234" s="10"/>
      <c r="AA234" s="10"/>
    </row>
    <row r="235" spans="1:27">
      <c r="A235" s="12"/>
      <c r="B235" s="10"/>
      <c r="C235" s="10"/>
      <c r="D235" s="10"/>
      <c r="E235" s="10"/>
      <c r="F235" s="10"/>
      <c r="G235" s="10"/>
      <c r="H235" s="10"/>
      <c r="I235" s="10"/>
      <c r="J235" s="10"/>
      <c r="K235" s="10"/>
      <c r="L235" s="10"/>
      <c r="M235" s="10"/>
      <c r="N235" s="11"/>
      <c r="O235" s="10"/>
      <c r="P235" s="10"/>
      <c r="Q235" s="10"/>
      <c r="R235" s="10"/>
      <c r="S235" s="10"/>
      <c r="T235" s="10"/>
      <c r="U235" s="10"/>
      <c r="V235" s="10"/>
      <c r="W235" s="10"/>
      <c r="X235" s="10"/>
      <c r="Y235" s="10"/>
      <c r="Z235" s="10"/>
      <c r="AA235" s="10"/>
    </row>
    <row r="236" spans="1:27">
      <c r="A236" s="12"/>
      <c r="B236" s="10"/>
      <c r="C236" s="10"/>
      <c r="D236" s="10"/>
      <c r="E236" s="10"/>
      <c r="F236" s="10"/>
      <c r="G236" s="10"/>
      <c r="H236" s="10"/>
      <c r="I236" s="10"/>
      <c r="J236" s="10"/>
      <c r="K236" s="10"/>
      <c r="L236" s="10"/>
      <c r="M236" s="10"/>
      <c r="N236" s="11"/>
      <c r="O236" s="10"/>
      <c r="P236" s="10"/>
      <c r="Q236" s="10"/>
      <c r="R236" s="10"/>
      <c r="S236" s="10"/>
      <c r="T236" s="10"/>
      <c r="U236" s="10"/>
      <c r="V236" s="10"/>
      <c r="W236" s="10"/>
      <c r="X236" s="10"/>
      <c r="Y236" s="10"/>
      <c r="Z236" s="10"/>
      <c r="AA236" s="10"/>
    </row>
    <row r="237" spans="1:27">
      <c r="A237" s="12"/>
      <c r="B237" s="10"/>
      <c r="C237" s="10"/>
      <c r="D237" s="10"/>
      <c r="E237" s="10"/>
      <c r="F237" s="10"/>
      <c r="G237" s="10"/>
      <c r="H237" s="10"/>
      <c r="I237" s="10"/>
      <c r="J237" s="10"/>
      <c r="K237" s="10"/>
      <c r="L237" s="10"/>
      <c r="M237" s="10"/>
      <c r="N237" s="11"/>
      <c r="O237" s="10"/>
      <c r="P237" s="10"/>
      <c r="Q237" s="10"/>
      <c r="R237" s="10"/>
      <c r="S237" s="10"/>
      <c r="T237" s="10"/>
      <c r="U237" s="10"/>
      <c r="V237" s="10"/>
      <c r="W237" s="10"/>
      <c r="X237" s="10"/>
      <c r="Y237" s="10"/>
      <c r="Z237" s="10"/>
      <c r="AA237" s="10"/>
    </row>
    <row r="238" spans="1:27">
      <c r="A238" s="13" t="s">
        <v>25</v>
      </c>
      <c r="B238" s="14"/>
      <c r="C238" s="15"/>
      <c r="D238" s="10"/>
      <c r="E238" s="10"/>
      <c r="F238" s="10"/>
      <c r="G238" s="10"/>
      <c r="H238" s="10"/>
      <c r="I238" s="10"/>
      <c r="J238" s="10"/>
      <c r="K238" s="10"/>
      <c r="L238" s="10"/>
      <c r="M238" s="10"/>
      <c r="N238" s="11"/>
      <c r="O238" s="10"/>
      <c r="P238" s="10"/>
      <c r="Q238" s="10"/>
      <c r="R238" s="10"/>
      <c r="S238" s="10"/>
      <c r="T238" s="10"/>
      <c r="U238" s="10"/>
      <c r="V238" s="10"/>
      <c r="W238" s="10"/>
      <c r="X238" s="10"/>
      <c r="Y238" s="10"/>
      <c r="Z238" s="10"/>
      <c r="AA238" s="10"/>
    </row>
    <row r="239" spans="1:27">
      <c r="A239" s="16" t="s">
        <v>26</v>
      </c>
      <c r="B239" s="10">
        <f>IF('Invoer factoren'!$M$19="X",F226+F227,F226)</f>
        <v>221.4</v>
      </c>
      <c r="C239" s="11" t="s">
        <v>3</v>
      </c>
      <c r="D239" s="10"/>
      <c r="E239" s="10"/>
      <c r="F239" s="10"/>
      <c r="G239" s="10"/>
      <c r="H239" s="10"/>
      <c r="I239" s="10"/>
      <c r="J239" s="10"/>
      <c r="K239" s="10"/>
      <c r="L239" s="10"/>
      <c r="M239" s="10"/>
      <c r="N239" s="11"/>
      <c r="O239" s="10"/>
      <c r="P239" s="10"/>
      <c r="Q239" s="10"/>
      <c r="R239" s="10"/>
      <c r="S239" s="10"/>
      <c r="T239" s="10"/>
      <c r="U239" s="10"/>
      <c r="V239" s="10"/>
      <c r="W239" s="10"/>
      <c r="X239" s="10"/>
      <c r="Y239" s="10"/>
      <c r="Z239" s="10"/>
      <c r="AA239" s="10"/>
    </row>
    <row r="240" spans="1:27">
      <c r="A240" s="21" t="s">
        <v>27</v>
      </c>
      <c r="B240" s="5">
        <f>C12</f>
        <v>185</v>
      </c>
      <c r="C240" s="6" t="s">
        <v>2</v>
      </c>
      <c r="D240" s="10"/>
      <c r="E240" s="10"/>
      <c r="F240" s="10"/>
      <c r="G240" s="10"/>
      <c r="H240" s="10"/>
      <c r="I240" s="10"/>
      <c r="J240" s="10"/>
      <c r="K240" s="10"/>
      <c r="L240" s="10"/>
      <c r="M240" s="10"/>
      <c r="N240" s="11"/>
      <c r="O240" s="10"/>
      <c r="P240" s="10"/>
      <c r="Q240" s="10"/>
      <c r="R240" s="10"/>
      <c r="S240" s="10"/>
      <c r="T240" s="10"/>
      <c r="U240" s="10"/>
      <c r="V240" s="10"/>
      <c r="W240" s="10"/>
      <c r="X240" s="10"/>
      <c r="Y240" s="10"/>
      <c r="Z240" s="10"/>
      <c r="AA240" s="10"/>
    </row>
    <row r="241" spans="1:27">
      <c r="A241" s="120" t="s">
        <v>186</v>
      </c>
      <c r="B241" s="10">
        <f>D12</f>
        <v>185</v>
      </c>
      <c r="C241" s="11" t="s">
        <v>2</v>
      </c>
      <c r="D241" s="10"/>
      <c r="E241" s="10"/>
      <c r="F241" s="10"/>
      <c r="G241" s="10"/>
      <c r="H241" s="10"/>
      <c r="I241" s="10"/>
      <c r="J241" s="10"/>
      <c r="K241" s="10"/>
      <c r="L241" s="10"/>
      <c r="M241" s="10"/>
      <c r="N241" s="11"/>
      <c r="O241" s="10"/>
      <c r="P241" s="10"/>
      <c r="Q241" s="10"/>
      <c r="R241" s="10"/>
      <c r="S241" s="10"/>
      <c r="T241" s="10"/>
      <c r="U241" s="10"/>
      <c r="V241" s="10"/>
      <c r="W241" s="10"/>
      <c r="X241" s="10"/>
      <c r="Y241" s="10"/>
      <c r="Z241" s="10"/>
      <c r="AA241" s="10"/>
    </row>
    <row r="242" spans="1:27">
      <c r="A242" s="120" t="s">
        <v>187</v>
      </c>
      <c r="B242" s="10">
        <f>E12</f>
        <v>185</v>
      </c>
      <c r="C242" s="11" t="s">
        <v>2</v>
      </c>
      <c r="D242" s="10"/>
      <c r="E242" s="10"/>
      <c r="F242" s="10"/>
      <c r="G242" s="10"/>
      <c r="H242" s="10"/>
      <c r="I242" s="10"/>
      <c r="J242" s="10"/>
      <c r="K242" s="10"/>
      <c r="L242" s="10"/>
      <c r="M242" s="10"/>
      <c r="N242" s="11"/>
      <c r="O242" s="10"/>
      <c r="P242" s="10"/>
      <c r="Q242" s="10"/>
      <c r="R242" s="10"/>
      <c r="S242" s="10"/>
      <c r="T242" s="10"/>
      <c r="U242" s="10"/>
      <c r="V242" s="10"/>
      <c r="W242" s="10"/>
      <c r="X242" s="10"/>
      <c r="Y242" s="10"/>
      <c r="Z242" s="10"/>
      <c r="AA242" s="10"/>
    </row>
    <row r="243" spans="1:27">
      <c r="A243" s="54" t="s">
        <v>18</v>
      </c>
      <c r="B243" s="8">
        <f>B247/B239</f>
        <v>973.68421052631584</v>
      </c>
      <c r="C243" s="9" t="s">
        <v>66</v>
      </c>
      <c r="D243" s="10"/>
      <c r="E243" s="10"/>
      <c r="F243" s="10"/>
      <c r="G243" s="10"/>
      <c r="H243" s="10"/>
      <c r="I243" s="10"/>
      <c r="J243" s="10"/>
      <c r="K243" s="10"/>
      <c r="L243" s="10"/>
      <c r="M243" s="10"/>
      <c r="N243" s="11"/>
      <c r="O243" s="10"/>
      <c r="P243" s="10"/>
      <c r="Q243" s="10"/>
      <c r="R243" s="10"/>
      <c r="S243" s="10"/>
      <c r="T243" s="10"/>
      <c r="U243" s="10"/>
      <c r="V243" s="10"/>
      <c r="W243" s="10"/>
      <c r="X243" s="10"/>
      <c r="Y243" s="10"/>
      <c r="Z243" s="10"/>
      <c r="AA243" s="10"/>
    </row>
    <row r="244" spans="1:27">
      <c r="A244" s="21" t="s">
        <v>71</v>
      </c>
      <c r="B244" s="5">
        <f>H12</f>
        <v>4</v>
      </c>
      <c r="C244" s="6" t="s">
        <v>2</v>
      </c>
      <c r="D244" s="10"/>
      <c r="E244" s="10"/>
      <c r="F244" s="10"/>
      <c r="G244" s="10"/>
      <c r="H244" s="10"/>
      <c r="I244" s="10"/>
      <c r="J244" s="10"/>
      <c r="K244" s="10"/>
      <c r="L244" s="10"/>
      <c r="M244" s="10"/>
      <c r="N244" s="11"/>
      <c r="O244" s="10"/>
      <c r="P244" s="10"/>
      <c r="Q244" s="10"/>
      <c r="R244" s="10"/>
      <c r="S244" s="10"/>
      <c r="T244" s="10"/>
      <c r="U244" s="10"/>
      <c r="V244" s="10"/>
      <c r="W244" s="10"/>
      <c r="X244" s="10"/>
      <c r="Y244" s="10"/>
      <c r="Z244" s="10"/>
      <c r="AA244" s="10"/>
    </row>
    <row r="245" spans="1:27">
      <c r="A245" s="16" t="s">
        <v>72</v>
      </c>
      <c r="B245" s="10">
        <f>B244*B246</f>
        <v>4661.0526315789475</v>
      </c>
      <c r="C245" s="11" t="s">
        <v>66</v>
      </c>
      <c r="D245" s="10"/>
      <c r="E245" s="10"/>
      <c r="F245" s="10"/>
      <c r="G245" s="10"/>
      <c r="H245" s="10"/>
      <c r="I245" s="10"/>
      <c r="J245" s="10"/>
      <c r="K245" s="10"/>
      <c r="L245" s="10"/>
      <c r="M245" s="10"/>
      <c r="N245" s="11"/>
      <c r="O245" s="10"/>
      <c r="P245" s="10"/>
      <c r="Q245" s="10"/>
      <c r="R245" s="10"/>
      <c r="S245" s="10"/>
      <c r="T245" s="10"/>
      <c r="U245" s="10"/>
      <c r="V245" s="10"/>
      <c r="W245" s="10"/>
      <c r="X245" s="10"/>
      <c r="Y245" s="10"/>
      <c r="Z245" s="10"/>
      <c r="AA245" s="10"/>
    </row>
    <row r="246" spans="1:27">
      <c r="A246" s="16" t="s">
        <v>153</v>
      </c>
      <c r="B246" s="10">
        <f>B239/(B227*B228)</f>
        <v>1165.2631578947369</v>
      </c>
      <c r="C246" s="58" t="s">
        <v>2</v>
      </c>
      <c r="D246" s="10"/>
      <c r="E246" s="10"/>
      <c r="F246" s="10"/>
      <c r="G246" s="10"/>
      <c r="H246" s="10"/>
      <c r="I246" s="10"/>
      <c r="J246" s="10"/>
      <c r="K246" s="10"/>
      <c r="L246" s="10"/>
      <c r="M246" s="10"/>
      <c r="N246" s="11"/>
      <c r="O246" s="10"/>
      <c r="P246" s="10"/>
      <c r="Q246" s="10"/>
      <c r="R246" s="10"/>
      <c r="S246" s="10"/>
      <c r="T246" s="10"/>
      <c r="U246" s="10"/>
      <c r="V246" s="10"/>
      <c r="W246" s="10"/>
      <c r="X246" s="10"/>
      <c r="Y246" s="10"/>
      <c r="Z246" s="10"/>
      <c r="AA246" s="10"/>
    </row>
    <row r="247" spans="1:27">
      <c r="A247" s="121" t="s">
        <v>160</v>
      </c>
      <c r="B247" s="5">
        <f>B246*B240</f>
        <v>215573.68421052632</v>
      </c>
      <c r="C247" s="6" t="s">
        <v>66</v>
      </c>
      <c r="D247" s="10"/>
      <c r="E247" s="10"/>
      <c r="F247" s="10"/>
      <c r="G247" s="10"/>
      <c r="H247" s="10"/>
      <c r="I247" s="10"/>
      <c r="J247" s="10"/>
      <c r="K247" s="10"/>
      <c r="L247" s="10"/>
      <c r="M247" s="10"/>
      <c r="N247" s="11"/>
      <c r="O247" s="10"/>
      <c r="P247" s="10"/>
      <c r="Q247" s="10"/>
      <c r="R247" s="10"/>
      <c r="S247" s="10"/>
      <c r="T247" s="10"/>
      <c r="U247" s="10"/>
      <c r="V247" s="10"/>
      <c r="W247" s="10"/>
      <c r="X247" s="10"/>
      <c r="Y247" s="10"/>
      <c r="Z247" s="10"/>
      <c r="AA247" s="10"/>
    </row>
    <row r="248" spans="1:27">
      <c r="A248" s="16" t="s">
        <v>182</v>
      </c>
      <c r="B248" s="10">
        <f>B246*B241</f>
        <v>215573.68421052632</v>
      </c>
      <c r="C248" s="11" t="s">
        <v>66</v>
      </c>
      <c r="D248" s="10"/>
      <c r="E248" s="10"/>
      <c r="F248" s="10"/>
      <c r="G248" s="10"/>
      <c r="H248" s="10"/>
      <c r="I248" s="10"/>
      <c r="J248" s="10"/>
      <c r="K248" s="10"/>
      <c r="L248" s="10"/>
      <c r="M248" s="10"/>
      <c r="N248" s="11"/>
      <c r="O248" s="10"/>
      <c r="P248" s="10"/>
      <c r="Q248" s="10"/>
      <c r="R248" s="10"/>
      <c r="S248" s="10"/>
      <c r="T248" s="10"/>
      <c r="U248" s="10"/>
      <c r="V248" s="10"/>
      <c r="W248" s="10"/>
      <c r="X248" s="10"/>
      <c r="Y248" s="10"/>
      <c r="Z248" s="10"/>
      <c r="AA248" s="10"/>
    </row>
    <row r="249" spans="1:27">
      <c r="A249" s="49" t="s">
        <v>183</v>
      </c>
      <c r="B249" s="8">
        <f>B246*B242</f>
        <v>215573.68421052632</v>
      </c>
      <c r="C249" s="9" t="s">
        <v>66</v>
      </c>
      <c r="D249" s="118"/>
      <c r="E249" s="10"/>
      <c r="F249" s="10"/>
      <c r="G249" s="10"/>
      <c r="H249" s="10"/>
      <c r="I249" s="10"/>
      <c r="J249" s="10"/>
      <c r="K249" s="10"/>
      <c r="L249" s="10"/>
      <c r="M249" s="10"/>
      <c r="N249" s="11"/>
      <c r="O249" s="10"/>
      <c r="P249" s="10"/>
      <c r="Q249" s="10"/>
      <c r="R249" s="10"/>
      <c r="S249" s="10"/>
      <c r="T249" s="10"/>
      <c r="U249" s="10"/>
      <c r="V249" s="10"/>
      <c r="W249" s="10"/>
      <c r="X249" s="10"/>
      <c r="Y249" s="10"/>
      <c r="Z249" s="10"/>
      <c r="AA249" s="10"/>
    </row>
    <row r="250" spans="1:27">
      <c r="A250" s="12"/>
      <c r="B250" s="10"/>
      <c r="C250" s="10"/>
      <c r="D250" s="10"/>
      <c r="E250" s="10"/>
      <c r="F250" s="10"/>
      <c r="G250" s="10"/>
      <c r="H250" s="10"/>
      <c r="I250" s="10"/>
      <c r="J250" s="10"/>
      <c r="K250" s="10"/>
      <c r="L250" s="10"/>
      <c r="M250" s="10"/>
      <c r="N250" s="11"/>
      <c r="O250" s="10"/>
      <c r="P250" s="10"/>
      <c r="Q250" s="10"/>
      <c r="R250" s="10"/>
      <c r="S250" s="10"/>
      <c r="T250" s="10"/>
      <c r="U250" s="10"/>
      <c r="V250" s="10"/>
      <c r="W250" s="10"/>
      <c r="X250" s="10"/>
      <c r="Y250" s="10"/>
      <c r="Z250" s="10"/>
      <c r="AA250" s="10"/>
    </row>
    <row r="251" spans="1:27">
      <c r="A251" s="12"/>
      <c r="B251" s="10"/>
      <c r="C251" s="10"/>
      <c r="D251" s="10"/>
      <c r="E251" s="10"/>
      <c r="F251" s="10"/>
      <c r="G251" s="10"/>
      <c r="H251" s="10"/>
      <c r="I251" s="10"/>
      <c r="J251" s="10"/>
      <c r="K251" s="10"/>
      <c r="L251" s="10"/>
      <c r="M251" s="10"/>
      <c r="N251" s="11"/>
      <c r="O251" s="10"/>
      <c r="P251" s="10"/>
      <c r="Q251" s="10"/>
      <c r="R251" s="10"/>
      <c r="S251" s="10"/>
      <c r="T251" s="10"/>
      <c r="U251" s="10"/>
      <c r="V251" s="10"/>
      <c r="W251" s="10"/>
      <c r="X251" s="10"/>
      <c r="Y251" s="10"/>
      <c r="Z251" s="10"/>
      <c r="AA251" s="10"/>
    </row>
    <row r="252" spans="1:27">
      <c r="A252" s="80" t="s">
        <v>311</v>
      </c>
      <c r="B252" s="5"/>
      <c r="C252" s="5"/>
      <c r="D252" s="5"/>
      <c r="E252" s="79" t="s">
        <v>166</v>
      </c>
      <c r="F252" s="5"/>
      <c r="G252" s="5"/>
      <c r="H252" s="5"/>
      <c r="I252" s="5"/>
      <c r="J252" s="5"/>
      <c r="K252" s="5"/>
      <c r="L252" s="5"/>
      <c r="M252" s="5"/>
      <c r="N252" s="6"/>
      <c r="O252" s="10"/>
      <c r="P252" s="10"/>
      <c r="Q252" s="10"/>
      <c r="R252" s="10"/>
      <c r="S252" s="10"/>
      <c r="T252" s="10"/>
      <c r="U252" s="10"/>
      <c r="V252" s="10"/>
      <c r="W252" s="10"/>
      <c r="X252" s="10"/>
      <c r="Y252" s="10"/>
      <c r="Z252" s="10"/>
      <c r="AA252" s="10"/>
    </row>
    <row r="253" spans="1:27">
      <c r="A253" s="16" t="s">
        <v>41</v>
      </c>
      <c r="B253" s="10"/>
      <c r="C253" s="10"/>
      <c r="D253" s="10"/>
      <c r="E253" s="10" t="s">
        <v>154</v>
      </c>
      <c r="F253" s="10">
        <f>Reken!R9</f>
        <v>221.4</v>
      </c>
      <c r="G253" s="10" t="s">
        <v>3</v>
      </c>
      <c r="H253" s="10"/>
      <c r="I253" s="10"/>
      <c r="J253" s="10"/>
      <c r="K253" s="10"/>
      <c r="L253" s="10"/>
      <c r="M253" s="10"/>
      <c r="N253" s="11"/>
      <c r="O253" s="10"/>
      <c r="P253" s="10"/>
      <c r="Q253" s="10"/>
      <c r="R253" s="10"/>
      <c r="S253" s="10"/>
      <c r="T253" s="10"/>
      <c r="U253" s="10"/>
      <c r="V253" s="10"/>
      <c r="W253" s="10"/>
      <c r="X253" s="10"/>
      <c r="Y253" s="10"/>
      <c r="Z253" s="10"/>
      <c r="AA253" s="10"/>
    </row>
    <row r="254" spans="1:27">
      <c r="A254" s="4" t="s">
        <v>42</v>
      </c>
      <c r="B254" s="36">
        <v>95</v>
      </c>
      <c r="C254" s="6" t="s">
        <v>47</v>
      </c>
      <c r="D254" s="10"/>
      <c r="E254" s="10" t="s">
        <v>155</v>
      </c>
      <c r="F254" s="10">
        <f>Reken!R7</f>
        <v>225</v>
      </c>
      <c r="G254" s="10" t="s">
        <v>3</v>
      </c>
      <c r="H254" s="10"/>
      <c r="I254" s="10"/>
      <c r="J254" s="10"/>
      <c r="K254" s="10"/>
      <c r="L254" s="10"/>
      <c r="M254" s="10"/>
      <c r="N254" s="11"/>
      <c r="O254" s="10"/>
      <c r="P254" s="10"/>
      <c r="Q254" s="10"/>
      <c r="R254" s="10"/>
      <c r="S254" s="10"/>
      <c r="T254" s="10"/>
      <c r="U254" s="10"/>
      <c r="V254" s="10"/>
      <c r="W254" s="10"/>
      <c r="X254" s="10"/>
      <c r="Y254" s="10"/>
      <c r="Z254" s="10"/>
      <c r="AA254" s="10"/>
    </row>
    <row r="255" spans="1:27">
      <c r="A255" s="7" t="s">
        <v>43</v>
      </c>
      <c r="B255" s="37">
        <v>1.5</v>
      </c>
      <c r="C255" s="9" t="s">
        <v>8</v>
      </c>
      <c r="D255" s="10"/>
      <c r="E255" s="10"/>
      <c r="F255" s="10"/>
      <c r="G255" s="10"/>
      <c r="H255" s="10"/>
      <c r="I255" s="10"/>
      <c r="J255" s="10"/>
      <c r="K255" s="10"/>
      <c r="L255" s="10"/>
      <c r="M255" s="10"/>
      <c r="N255" s="11"/>
      <c r="O255" s="10"/>
      <c r="P255" s="10"/>
      <c r="Q255" s="10"/>
      <c r="R255" s="10"/>
      <c r="S255" s="10"/>
      <c r="T255" s="10"/>
      <c r="U255" s="10"/>
      <c r="V255" s="10"/>
      <c r="W255" s="10"/>
      <c r="X255" s="10"/>
      <c r="Y255" s="10"/>
      <c r="Z255" s="10"/>
      <c r="AA255" s="10"/>
    </row>
    <row r="256" spans="1:27">
      <c r="A256" s="12"/>
      <c r="B256" s="10"/>
      <c r="C256" s="10"/>
      <c r="D256" s="10"/>
      <c r="E256" s="10"/>
      <c r="F256" s="10"/>
      <c r="G256" s="10"/>
      <c r="H256" s="10"/>
      <c r="I256" s="10"/>
      <c r="J256" s="10"/>
      <c r="K256" s="10"/>
      <c r="L256" s="10"/>
      <c r="M256" s="10"/>
      <c r="N256" s="11"/>
      <c r="O256" s="10"/>
      <c r="P256" s="10"/>
      <c r="Q256" s="10"/>
      <c r="R256" s="10"/>
      <c r="S256" s="10"/>
      <c r="T256" s="10"/>
      <c r="U256" s="10"/>
      <c r="V256" s="10"/>
      <c r="W256" s="10"/>
      <c r="X256" s="10"/>
      <c r="Y256" s="10"/>
      <c r="Z256" s="10"/>
      <c r="AA256" s="10"/>
    </row>
    <row r="257" spans="1:27">
      <c r="A257" s="12"/>
      <c r="B257" s="10"/>
      <c r="C257" s="10"/>
      <c r="D257" s="10"/>
      <c r="E257" s="10"/>
      <c r="F257" s="10"/>
      <c r="G257" s="10"/>
      <c r="H257" s="10"/>
      <c r="I257" s="10"/>
      <c r="J257" s="10"/>
      <c r="K257" s="10"/>
      <c r="L257" s="10"/>
      <c r="M257" s="10"/>
      <c r="N257" s="11"/>
      <c r="O257" s="10"/>
      <c r="P257" s="10"/>
      <c r="Q257" s="10"/>
      <c r="R257" s="10"/>
      <c r="S257" s="10"/>
      <c r="T257" s="10"/>
      <c r="U257" s="10"/>
      <c r="V257" s="10"/>
      <c r="W257" s="10"/>
      <c r="X257" s="10"/>
      <c r="Y257" s="10"/>
      <c r="Z257" s="10"/>
      <c r="AA257" s="10"/>
    </row>
    <row r="258" spans="1:27">
      <c r="A258" s="16"/>
      <c r="B258" s="10"/>
      <c r="C258" s="10"/>
      <c r="D258" s="10"/>
      <c r="E258" s="10"/>
      <c r="F258" s="10"/>
      <c r="G258" s="10"/>
      <c r="H258" s="10"/>
      <c r="I258" s="10"/>
      <c r="J258" s="10"/>
      <c r="K258" s="10"/>
      <c r="L258" s="10"/>
      <c r="M258" s="10"/>
      <c r="N258" s="11"/>
      <c r="O258" s="10"/>
      <c r="P258" s="10"/>
      <c r="Q258" s="10"/>
      <c r="R258" s="10"/>
      <c r="S258" s="10"/>
      <c r="T258" s="10"/>
      <c r="U258" s="10"/>
      <c r="V258" s="10"/>
      <c r="W258" s="10"/>
      <c r="X258" s="10"/>
      <c r="Y258" s="10"/>
      <c r="Z258" s="10"/>
      <c r="AA258" s="10"/>
    </row>
    <row r="259" spans="1:27">
      <c r="A259" s="12"/>
      <c r="B259" s="10"/>
      <c r="C259" s="10"/>
      <c r="D259" s="10"/>
      <c r="E259" s="10"/>
      <c r="F259" s="10"/>
      <c r="G259" s="10"/>
      <c r="H259" s="10"/>
      <c r="I259" s="10"/>
      <c r="J259" s="10"/>
      <c r="K259" s="10"/>
      <c r="L259" s="10"/>
      <c r="M259" s="10"/>
      <c r="N259" s="11"/>
      <c r="O259" s="10"/>
      <c r="P259" s="10"/>
      <c r="Q259" s="10"/>
      <c r="R259" s="10"/>
      <c r="S259" s="10"/>
      <c r="T259" s="10"/>
      <c r="U259" s="10"/>
      <c r="V259" s="10"/>
      <c r="W259" s="10"/>
      <c r="X259" s="10"/>
      <c r="Y259" s="10"/>
      <c r="Z259" s="10"/>
      <c r="AA259" s="10"/>
    </row>
    <row r="260" spans="1:27">
      <c r="A260" s="12"/>
      <c r="B260" s="10"/>
      <c r="C260" s="10"/>
      <c r="D260" s="10"/>
      <c r="E260" s="10"/>
      <c r="F260" s="10"/>
      <c r="G260" s="10"/>
      <c r="H260" s="10"/>
      <c r="I260" s="10"/>
      <c r="J260" s="10"/>
      <c r="K260" s="10"/>
      <c r="L260" s="10"/>
      <c r="M260" s="10"/>
      <c r="N260" s="11"/>
      <c r="O260" s="10"/>
      <c r="P260" s="10"/>
      <c r="Q260" s="10"/>
      <c r="R260" s="10"/>
      <c r="S260" s="10"/>
      <c r="T260" s="10"/>
      <c r="U260" s="10"/>
      <c r="V260" s="10"/>
      <c r="W260" s="10"/>
      <c r="X260" s="10"/>
      <c r="Y260" s="10"/>
      <c r="Z260" s="10"/>
      <c r="AA260" s="10"/>
    </row>
    <row r="261" spans="1:27">
      <c r="A261" s="12"/>
      <c r="B261" s="10"/>
      <c r="C261" s="10"/>
      <c r="D261" s="10"/>
      <c r="E261" s="10"/>
      <c r="F261" s="10"/>
      <c r="G261" s="10"/>
      <c r="H261" s="10"/>
      <c r="I261" s="10"/>
      <c r="J261" s="10"/>
      <c r="K261" s="10"/>
      <c r="L261" s="10"/>
      <c r="M261" s="10"/>
      <c r="N261" s="11"/>
      <c r="O261" s="10"/>
      <c r="P261" s="10"/>
      <c r="Q261" s="10"/>
      <c r="R261" s="10"/>
      <c r="S261" s="10"/>
      <c r="T261" s="10"/>
      <c r="U261" s="10"/>
      <c r="V261" s="10"/>
      <c r="W261" s="10"/>
      <c r="X261" s="10"/>
      <c r="Y261" s="10"/>
      <c r="Z261" s="10"/>
      <c r="AA261" s="10"/>
    </row>
    <row r="262" spans="1:27">
      <c r="A262" s="12"/>
      <c r="B262" s="10"/>
      <c r="C262" s="10"/>
      <c r="D262" s="10"/>
      <c r="E262" s="10"/>
      <c r="F262" s="10"/>
      <c r="G262" s="10"/>
      <c r="H262" s="10"/>
      <c r="I262" s="10"/>
      <c r="J262" s="10"/>
      <c r="K262" s="10"/>
      <c r="L262" s="10"/>
      <c r="M262" s="10"/>
      <c r="N262" s="11"/>
      <c r="O262" s="10"/>
      <c r="P262" s="10"/>
      <c r="Q262" s="10"/>
      <c r="R262" s="10"/>
      <c r="S262" s="10"/>
      <c r="T262" s="10"/>
      <c r="U262" s="10"/>
      <c r="V262" s="10"/>
      <c r="W262" s="10"/>
      <c r="X262" s="10"/>
      <c r="Y262" s="10"/>
      <c r="Z262" s="10"/>
      <c r="AA262" s="10"/>
    </row>
    <row r="263" spans="1:27">
      <c r="A263" s="12"/>
      <c r="B263" s="10"/>
      <c r="C263" s="10"/>
      <c r="D263" s="111"/>
      <c r="E263" s="10"/>
      <c r="F263" s="10"/>
      <c r="G263" s="10"/>
      <c r="H263" s="10"/>
      <c r="I263" s="10"/>
      <c r="J263" s="10"/>
      <c r="K263" s="10"/>
      <c r="L263" s="10"/>
      <c r="M263" s="10"/>
      <c r="N263" s="11"/>
      <c r="O263" s="10"/>
      <c r="P263" s="10"/>
      <c r="Q263" s="10"/>
      <c r="R263" s="10"/>
      <c r="S263" s="10"/>
      <c r="T263" s="10"/>
      <c r="U263" s="10"/>
      <c r="V263" s="10"/>
      <c r="W263" s="10"/>
      <c r="X263" s="10"/>
      <c r="Y263" s="10"/>
      <c r="Z263" s="10"/>
      <c r="AA263" s="10"/>
    </row>
    <row r="264" spans="1:27">
      <c r="A264" s="13" t="s">
        <v>25</v>
      </c>
      <c r="B264" s="14"/>
      <c r="C264" s="15"/>
      <c r="D264" s="10"/>
      <c r="E264" s="10"/>
      <c r="F264" s="10"/>
      <c r="G264" s="10"/>
      <c r="H264" s="10"/>
      <c r="I264" s="10"/>
      <c r="J264" s="10"/>
      <c r="K264" s="10"/>
      <c r="L264" s="10"/>
      <c r="M264" s="10"/>
      <c r="N264" s="11"/>
      <c r="O264" s="10"/>
      <c r="P264" s="10"/>
      <c r="Q264" s="10"/>
      <c r="R264" s="10"/>
      <c r="S264" s="10"/>
      <c r="T264" s="10"/>
      <c r="U264" s="10"/>
      <c r="V264" s="10"/>
      <c r="W264" s="10"/>
      <c r="X264" s="10"/>
      <c r="Y264" s="10"/>
      <c r="Z264" s="10"/>
      <c r="AA264" s="10"/>
    </row>
    <row r="265" spans="1:27">
      <c r="A265" s="16" t="s">
        <v>26</v>
      </c>
      <c r="B265" s="10">
        <f>IF('Invoer factoren'!$M$19="X",F253+F254,F253)</f>
        <v>221.4</v>
      </c>
      <c r="C265" s="11" t="s">
        <v>3</v>
      </c>
      <c r="D265" s="10"/>
      <c r="E265" s="10"/>
      <c r="F265" s="10"/>
      <c r="G265" s="10"/>
      <c r="H265" s="10"/>
      <c r="I265" s="10"/>
      <c r="J265" s="10"/>
      <c r="K265" s="10"/>
      <c r="L265" s="10"/>
      <c r="M265" s="10"/>
      <c r="N265" s="11"/>
      <c r="O265" s="10"/>
      <c r="P265" s="10"/>
      <c r="Q265" s="10"/>
      <c r="R265" s="10"/>
      <c r="S265" s="10"/>
      <c r="T265" s="10"/>
      <c r="U265" s="10"/>
      <c r="V265" s="10"/>
      <c r="W265" s="10"/>
      <c r="X265" s="10"/>
      <c r="Y265" s="10"/>
      <c r="Z265" s="10"/>
      <c r="AA265" s="10"/>
    </row>
    <row r="266" spans="1:27">
      <c r="A266" s="21" t="s">
        <v>27</v>
      </c>
      <c r="B266" s="5">
        <f>C13</f>
        <v>445</v>
      </c>
      <c r="C266" s="6" t="s">
        <v>3</v>
      </c>
      <c r="D266" s="10"/>
      <c r="E266" s="10"/>
      <c r="F266" s="10"/>
      <c r="G266" s="10"/>
      <c r="H266" s="10"/>
      <c r="I266" s="10"/>
      <c r="J266" s="10"/>
      <c r="K266" s="10"/>
      <c r="L266" s="10"/>
      <c r="M266" s="10"/>
      <c r="N266" s="11"/>
      <c r="O266" s="10"/>
      <c r="P266" s="10"/>
      <c r="Q266" s="10"/>
      <c r="R266" s="10"/>
      <c r="S266" s="10"/>
      <c r="T266" s="10"/>
      <c r="U266" s="10"/>
      <c r="V266" s="10"/>
      <c r="W266" s="10"/>
      <c r="X266" s="10"/>
      <c r="Y266" s="10"/>
      <c r="Z266" s="10"/>
      <c r="AA266" s="10"/>
    </row>
    <row r="267" spans="1:27">
      <c r="A267" s="120" t="s">
        <v>186</v>
      </c>
      <c r="B267" s="10">
        <f>D13</f>
        <v>140</v>
      </c>
      <c r="C267" s="11" t="s">
        <v>3</v>
      </c>
      <c r="D267" s="10"/>
      <c r="E267" s="10"/>
      <c r="F267" s="10"/>
      <c r="G267" s="10"/>
      <c r="H267" s="10"/>
      <c r="I267" s="10"/>
      <c r="J267" s="10"/>
      <c r="K267" s="10"/>
      <c r="L267" s="10"/>
      <c r="M267" s="10"/>
      <c r="N267" s="11"/>
      <c r="O267" s="10"/>
      <c r="P267" s="10"/>
      <c r="Q267" s="10"/>
      <c r="R267" s="10"/>
      <c r="S267" s="10"/>
      <c r="T267" s="10"/>
      <c r="U267" s="10"/>
      <c r="V267" s="10"/>
      <c r="W267" s="10"/>
      <c r="X267" s="10"/>
      <c r="Y267" s="10"/>
      <c r="Z267" s="10"/>
      <c r="AA267" s="10"/>
    </row>
    <row r="268" spans="1:27">
      <c r="A268" s="120" t="s">
        <v>187</v>
      </c>
      <c r="B268" s="10">
        <f>E13</f>
        <v>750</v>
      </c>
      <c r="C268" s="11" t="s">
        <v>3</v>
      </c>
      <c r="D268" s="10"/>
      <c r="E268" s="10"/>
      <c r="F268" s="10"/>
      <c r="G268" s="10"/>
      <c r="H268" s="10"/>
      <c r="I268" s="10"/>
      <c r="J268" s="10"/>
      <c r="K268" s="10"/>
      <c r="L268" s="10"/>
      <c r="M268" s="10"/>
      <c r="N268" s="11"/>
      <c r="O268" s="10"/>
      <c r="P268" s="10"/>
      <c r="Q268" s="10"/>
      <c r="R268" s="10"/>
      <c r="S268" s="10"/>
      <c r="T268" s="10"/>
      <c r="U268" s="10"/>
      <c r="V268" s="10"/>
      <c r="W268" s="10"/>
      <c r="X268" s="10"/>
      <c r="Y268" s="10"/>
      <c r="Z268" s="10"/>
      <c r="AA268" s="10"/>
    </row>
    <row r="269" spans="1:27">
      <c r="A269" s="54" t="s">
        <v>18</v>
      </c>
      <c r="B269" s="8">
        <f>B273/B265</f>
        <v>445</v>
      </c>
      <c r="C269" s="9" t="s">
        <v>66</v>
      </c>
      <c r="D269" s="10"/>
      <c r="E269" s="10"/>
      <c r="F269" s="10"/>
      <c r="G269" s="10"/>
      <c r="H269" s="10"/>
      <c r="I269" s="10"/>
      <c r="J269" s="10"/>
      <c r="K269" s="10"/>
      <c r="L269" s="10"/>
      <c r="M269" s="10"/>
      <c r="N269" s="11"/>
      <c r="O269" s="10"/>
      <c r="P269" s="10"/>
      <c r="Q269" s="10"/>
      <c r="R269" s="10"/>
      <c r="S269" s="10"/>
      <c r="T269" s="10"/>
      <c r="U269" s="10"/>
      <c r="V269" s="10"/>
      <c r="W269" s="10"/>
      <c r="X269" s="10"/>
      <c r="Y269" s="10"/>
      <c r="Z269" s="10"/>
      <c r="AA269" s="10"/>
    </row>
    <row r="270" spans="1:27">
      <c r="A270" s="21" t="s">
        <v>71</v>
      </c>
      <c r="B270" s="5">
        <f>H13</f>
        <v>7.1</v>
      </c>
      <c r="C270" s="6" t="s">
        <v>3</v>
      </c>
      <c r="D270" s="10"/>
      <c r="E270" s="10"/>
      <c r="F270" s="10"/>
      <c r="G270" s="10"/>
      <c r="H270" s="10"/>
      <c r="I270" s="10"/>
      <c r="J270" s="10"/>
      <c r="K270" s="10"/>
      <c r="L270" s="10"/>
      <c r="M270" s="10"/>
      <c r="N270" s="11"/>
      <c r="O270" s="10"/>
      <c r="P270" s="10"/>
      <c r="Q270" s="10"/>
      <c r="R270" s="10"/>
      <c r="S270" s="10"/>
      <c r="T270" s="10"/>
      <c r="U270" s="10"/>
      <c r="V270" s="10"/>
      <c r="W270" s="10"/>
      <c r="X270" s="10"/>
      <c r="Y270" s="10"/>
      <c r="Z270" s="10"/>
      <c r="AA270" s="10"/>
    </row>
    <row r="271" spans="1:27">
      <c r="A271" s="16" t="s">
        <v>72</v>
      </c>
      <c r="B271" s="10">
        <f>B270*B265</f>
        <v>1571.94</v>
      </c>
      <c r="C271" s="11" t="s">
        <v>66</v>
      </c>
      <c r="D271" s="10"/>
      <c r="E271" s="10"/>
      <c r="F271" s="10"/>
      <c r="G271" s="10"/>
      <c r="H271" s="10"/>
      <c r="I271" s="10"/>
      <c r="J271" s="10"/>
      <c r="K271" s="10"/>
      <c r="L271" s="10"/>
      <c r="M271" s="10"/>
      <c r="N271" s="11"/>
      <c r="O271" s="10"/>
      <c r="P271" s="10"/>
      <c r="Q271" s="10"/>
      <c r="R271" s="10"/>
      <c r="S271" s="10"/>
      <c r="T271" s="10"/>
      <c r="U271" s="10"/>
      <c r="V271" s="10"/>
      <c r="W271" s="10"/>
      <c r="X271" s="10"/>
      <c r="Y271" s="10"/>
      <c r="Z271" s="10"/>
      <c r="AA271" s="10"/>
    </row>
    <row r="272" spans="1:27">
      <c r="A272" s="16" t="s">
        <v>153</v>
      </c>
      <c r="B272" s="10">
        <f>B265/(B255*(B254/100))</f>
        <v>155.36842105263159</v>
      </c>
      <c r="C272" s="58" t="s">
        <v>2</v>
      </c>
      <c r="D272" s="10"/>
      <c r="E272" s="10"/>
      <c r="F272" s="10"/>
      <c r="G272" s="10"/>
      <c r="H272" s="10"/>
      <c r="I272" s="10"/>
      <c r="J272" s="10"/>
      <c r="K272" s="10"/>
      <c r="L272" s="10"/>
      <c r="M272" s="10"/>
      <c r="N272" s="11"/>
      <c r="O272" s="10"/>
      <c r="P272" s="10"/>
      <c r="Q272" s="10"/>
      <c r="R272" s="10"/>
      <c r="S272" s="10"/>
      <c r="T272" s="10"/>
      <c r="U272" s="10"/>
      <c r="V272" s="10"/>
      <c r="W272" s="10"/>
      <c r="X272" s="10"/>
      <c r="Y272" s="10"/>
      <c r="Z272" s="10"/>
      <c r="AA272" s="10"/>
    </row>
    <row r="273" spans="1:27">
      <c r="A273" s="121" t="s">
        <v>160</v>
      </c>
      <c r="B273" s="5">
        <f>B265*B266</f>
        <v>98523</v>
      </c>
      <c r="C273" s="6" t="s">
        <v>66</v>
      </c>
      <c r="D273" s="10"/>
      <c r="E273" s="10"/>
      <c r="F273" s="10"/>
      <c r="G273" s="10"/>
      <c r="H273" s="10"/>
      <c r="I273" s="10"/>
      <c r="J273" s="10"/>
      <c r="K273" s="10"/>
      <c r="L273" s="10"/>
      <c r="M273" s="10"/>
      <c r="N273" s="11"/>
      <c r="O273" s="10"/>
      <c r="P273" s="10"/>
      <c r="Q273" s="10"/>
      <c r="R273" s="10"/>
      <c r="S273" s="10"/>
      <c r="T273" s="10"/>
      <c r="U273" s="10"/>
      <c r="V273" s="10"/>
      <c r="W273" s="10"/>
      <c r="X273" s="10"/>
      <c r="Y273" s="10"/>
      <c r="Z273" s="10"/>
      <c r="AA273" s="10"/>
    </row>
    <row r="274" spans="1:27">
      <c r="A274" s="16" t="s">
        <v>182</v>
      </c>
      <c r="B274" s="10">
        <f>B267*B265</f>
        <v>30996</v>
      </c>
      <c r="C274" s="11" t="s">
        <v>66</v>
      </c>
      <c r="D274" s="10"/>
      <c r="E274" s="10"/>
      <c r="F274" s="10"/>
      <c r="G274" s="10"/>
      <c r="H274" s="10"/>
      <c r="I274" s="10"/>
      <c r="J274" s="10"/>
      <c r="K274" s="10"/>
      <c r="L274" s="10"/>
      <c r="M274" s="10"/>
      <c r="N274" s="11"/>
      <c r="O274" s="10"/>
      <c r="P274" s="10"/>
      <c r="Q274" s="10"/>
      <c r="R274" s="10"/>
      <c r="S274" s="10"/>
      <c r="T274" s="10"/>
      <c r="U274" s="10"/>
      <c r="V274" s="10"/>
      <c r="W274" s="10"/>
      <c r="X274" s="10"/>
      <c r="Y274" s="10"/>
      <c r="Z274" s="10"/>
      <c r="AA274" s="10"/>
    </row>
    <row r="275" spans="1:27">
      <c r="A275" s="49" t="s">
        <v>183</v>
      </c>
      <c r="B275" s="8">
        <f>B265*B268</f>
        <v>166050</v>
      </c>
      <c r="C275" s="9" t="s">
        <v>66</v>
      </c>
      <c r="D275" s="10"/>
      <c r="E275" s="10"/>
      <c r="F275" s="10"/>
      <c r="G275" s="10"/>
      <c r="H275" s="10"/>
      <c r="I275" s="10"/>
      <c r="J275" s="10"/>
      <c r="K275" s="10"/>
      <c r="L275" s="10"/>
      <c r="M275" s="10"/>
      <c r="N275" s="11"/>
      <c r="O275" s="10"/>
      <c r="P275" s="10"/>
      <c r="Q275" s="10"/>
      <c r="R275" s="10"/>
      <c r="S275" s="10"/>
      <c r="T275" s="10"/>
      <c r="U275" s="10"/>
      <c r="V275" s="10"/>
      <c r="W275" s="10"/>
      <c r="X275" s="10"/>
      <c r="Y275" s="10"/>
      <c r="Z275" s="10"/>
      <c r="AA275" s="10"/>
    </row>
    <row r="276" spans="1:27">
      <c r="A276" s="12"/>
      <c r="B276" s="10"/>
      <c r="C276" s="10"/>
      <c r="D276" s="10"/>
      <c r="E276" s="10"/>
      <c r="F276" s="10"/>
      <c r="G276" s="10"/>
      <c r="H276" s="10"/>
      <c r="I276" s="10"/>
      <c r="J276" s="10"/>
      <c r="K276" s="10"/>
      <c r="L276" s="10"/>
      <c r="M276" s="10"/>
      <c r="N276" s="11"/>
      <c r="O276" s="10"/>
      <c r="P276" s="10"/>
      <c r="Q276" s="10"/>
      <c r="R276" s="10"/>
      <c r="S276" s="10"/>
      <c r="T276" s="10"/>
      <c r="U276" s="10"/>
      <c r="V276" s="10"/>
      <c r="W276" s="10"/>
      <c r="X276" s="10"/>
      <c r="Y276" s="10"/>
      <c r="Z276" s="10"/>
      <c r="AA276" s="10"/>
    </row>
    <row r="277" spans="1:27">
      <c r="A277" s="12"/>
      <c r="B277" s="10"/>
      <c r="C277" s="10"/>
      <c r="D277" s="10"/>
      <c r="E277" s="10"/>
      <c r="F277" s="10"/>
      <c r="G277" s="10"/>
      <c r="H277" s="10"/>
      <c r="I277" s="10"/>
      <c r="J277" s="10"/>
      <c r="K277" s="10"/>
      <c r="L277" s="10"/>
      <c r="M277" s="10"/>
      <c r="N277" s="11"/>
      <c r="O277" s="10"/>
      <c r="P277" s="10"/>
      <c r="Q277" s="10"/>
      <c r="R277" s="10"/>
      <c r="S277" s="10"/>
      <c r="T277" s="10"/>
      <c r="U277" s="10"/>
      <c r="V277" s="10"/>
      <c r="W277" s="10"/>
      <c r="X277" s="10"/>
      <c r="Y277" s="10"/>
      <c r="Z277" s="10"/>
      <c r="AA277" s="10"/>
    </row>
    <row r="278" spans="1:27">
      <c r="A278" s="80" t="s">
        <v>312</v>
      </c>
      <c r="B278" s="5"/>
      <c r="C278" s="5"/>
      <c r="D278" s="5"/>
      <c r="E278" s="79" t="s">
        <v>166</v>
      </c>
      <c r="F278" s="5"/>
      <c r="G278" s="5"/>
      <c r="H278" s="5"/>
      <c r="I278" s="5"/>
      <c r="J278" s="5"/>
      <c r="K278" s="5"/>
      <c r="L278" s="5"/>
      <c r="M278" s="5"/>
      <c r="N278" s="6"/>
      <c r="O278" s="10"/>
      <c r="P278" s="10"/>
      <c r="Q278" s="10"/>
      <c r="R278" s="10"/>
      <c r="S278" s="10"/>
      <c r="T278" s="10"/>
      <c r="U278" s="10"/>
      <c r="V278" s="10"/>
      <c r="W278" s="10"/>
      <c r="X278" s="10"/>
      <c r="Y278" s="10"/>
      <c r="Z278" s="10"/>
      <c r="AA278" s="10"/>
    </row>
    <row r="279" spans="1:27">
      <c r="A279" s="16" t="s">
        <v>60</v>
      </c>
      <c r="B279" s="10"/>
      <c r="C279" s="10"/>
      <c r="D279" s="111"/>
      <c r="E279" s="10" t="s">
        <v>154</v>
      </c>
      <c r="F279" s="10">
        <f>Reken!R9</f>
        <v>221.4</v>
      </c>
      <c r="G279" s="10" t="s">
        <v>3</v>
      </c>
      <c r="H279" s="10"/>
      <c r="I279" s="10"/>
      <c r="J279" s="10"/>
      <c r="K279" s="10"/>
      <c r="L279" s="10"/>
      <c r="M279" s="10"/>
      <c r="N279" s="11"/>
      <c r="O279" s="10"/>
      <c r="P279" s="10"/>
      <c r="Q279" s="10"/>
      <c r="R279" s="10"/>
      <c r="S279" s="10"/>
      <c r="T279" s="10"/>
      <c r="U279" s="10"/>
      <c r="V279" s="10"/>
      <c r="W279" s="10"/>
      <c r="X279" s="10"/>
      <c r="Y279" s="10"/>
      <c r="Z279" s="10"/>
      <c r="AA279" s="10"/>
    </row>
    <row r="280" spans="1:27">
      <c r="A280" s="4" t="s">
        <v>7</v>
      </c>
      <c r="B280" s="116">
        <v>0.5</v>
      </c>
      <c r="C280" s="6" t="s">
        <v>8</v>
      </c>
      <c r="D280" s="10"/>
      <c r="E280" s="10" t="s">
        <v>155</v>
      </c>
      <c r="F280" s="10">
        <f>Reken!R7</f>
        <v>225</v>
      </c>
      <c r="G280" s="10" t="s">
        <v>3</v>
      </c>
      <c r="H280" s="10"/>
      <c r="I280" s="10"/>
      <c r="J280" s="10"/>
      <c r="K280" s="10"/>
      <c r="L280" s="10"/>
      <c r="M280" s="10"/>
      <c r="N280" s="11"/>
      <c r="O280" s="10"/>
      <c r="P280" s="10"/>
      <c r="Q280" s="10"/>
      <c r="R280" s="10"/>
      <c r="S280" s="10"/>
      <c r="T280" s="10"/>
      <c r="U280" s="10"/>
      <c r="V280" s="10"/>
      <c r="W280" s="10"/>
      <c r="X280" s="10"/>
      <c r="Y280" s="10"/>
      <c r="Z280" s="10"/>
      <c r="AA280" s="10"/>
    </row>
    <row r="281" spans="1:27">
      <c r="A281" s="12" t="s">
        <v>9</v>
      </c>
      <c r="B281" s="25">
        <v>0.5</v>
      </c>
      <c r="C281" s="11" t="s">
        <v>8</v>
      </c>
      <c r="D281" s="10"/>
      <c r="E281" s="10"/>
      <c r="F281" s="10"/>
      <c r="G281" s="10"/>
      <c r="H281" s="10"/>
      <c r="I281" s="10"/>
      <c r="J281" s="10"/>
      <c r="K281" s="10"/>
      <c r="L281" s="10"/>
      <c r="M281" s="10"/>
      <c r="N281" s="11"/>
      <c r="O281" s="10"/>
      <c r="P281" s="10"/>
      <c r="Q281" s="10"/>
      <c r="R281" s="10"/>
      <c r="S281" s="10"/>
      <c r="T281" s="10"/>
      <c r="U281" s="10"/>
      <c r="V281" s="10"/>
      <c r="W281" s="10"/>
      <c r="X281" s="10"/>
      <c r="Y281" s="10"/>
      <c r="Z281" s="10"/>
      <c r="AA281" s="10"/>
    </row>
    <row r="282" spans="1:27">
      <c r="A282" s="7" t="s">
        <v>59</v>
      </c>
      <c r="B282" s="117">
        <v>1.5</v>
      </c>
      <c r="C282" s="9" t="s">
        <v>8</v>
      </c>
      <c r="D282" s="10"/>
      <c r="E282" s="10"/>
      <c r="F282" s="10"/>
      <c r="G282" s="10"/>
      <c r="H282" s="10"/>
      <c r="I282" s="10"/>
      <c r="J282" s="10"/>
      <c r="K282" s="10"/>
      <c r="L282" s="10"/>
      <c r="M282" s="10"/>
      <c r="N282" s="11"/>
      <c r="O282" s="10"/>
      <c r="P282" s="10"/>
      <c r="Q282" s="10"/>
      <c r="R282" s="10"/>
      <c r="S282" s="10"/>
      <c r="T282" s="10"/>
      <c r="U282" s="10"/>
      <c r="V282" s="10"/>
      <c r="W282" s="10"/>
      <c r="X282" s="10"/>
      <c r="Y282" s="10"/>
      <c r="Z282" s="10"/>
      <c r="AA282" s="10"/>
    </row>
    <row r="283" spans="1:27">
      <c r="A283" s="12" t="s">
        <v>13</v>
      </c>
      <c r="B283" s="10">
        <f>B280*B281</f>
        <v>0.25</v>
      </c>
      <c r="C283" s="10" t="s">
        <v>2</v>
      </c>
      <c r="D283" s="10"/>
      <c r="E283" s="10"/>
      <c r="F283" s="10"/>
      <c r="G283" s="10"/>
      <c r="H283" s="10"/>
      <c r="I283" s="10"/>
      <c r="J283" s="10"/>
      <c r="K283" s="10"/>
      <c r="L283" s="10"/>
      <c r="M283" s="10"/>
      <c r="N283" s="11"/>
      <c r="O283" s="10"/>
      <c r="P283" s="10"/>
      <c r="Q283" s="10"/>
      <c r="R283" s="10"/>
      <c r="S283" s="10"/>
      <c r="T283" s="10"/>
      <c r="U283" s="10"/>
      <c r="V283" s="10"/>
      <c r="W283" s="10"/>
      <c r="X283" s="10"/>
      <c r="Y283" s="10"/>
      <c r="Z283" s="10"/>
      <c r="AA283" s="10"/>
    </row>
    <row r="284" spans="1:27">
      <c r="A284" s="12" t="s">
        <v>35</v>
      </c>
      <c r="B284" s="10">
        <f>B283*B282</f>
        <v>0.375</v>
      </c>
      <c r="C284" s="10" t="s">
        <v>3</v>
      </c>
      <c r="D284" s="10"/>
      <c r="E284" s="10"/>
      <c r="F284" s="10"/>
      <c r="G284" s="10"/>
      <c r="H284" s="10"/>
      <c r="I284" s="10"/>
      <c r="J284" s="10"/>
      <c r="K284" s="10"/>
      <c r="L284" s="10"/>
      <c r="M284" s="10"/>
      <c r="N284" s="11"/>
      <c r="O284" s="10"/>
      <c r="P284" s="10"/>
      <c r="Q284" s="10"/>
      <c r="R284" s="10"/>
      <c r="S284" s="10"/>
      <c r="T284" s="10"/>
      <c r="U284" s="10"/>
      <c r="V284" s="10"/>
      <c r="W284" s="10"/>
      <c r="X284" s="10"/>
      <c r="Y284" s="10"/>
      <c r="Z284" s="10"/>
      <c r="AA284" s="10"/>
    </row>
    <row r="285" spans="1:27">
      <c r="A285" s="12" t="s">
        <v>61</v>
      </c>
      <c r="B285" s="10">
        <f>2*(B280*B282)+2*(B281*B282)</f>
        <v>3</v>
      </c>
      <c r="C285" s="10" t="s">
        <v>2</v>
      </c>
      <c r="D285" s="10"/>
      <c r="E285" s="10"/>
      <c r="F285" s="10"/>
      <c r="G285" s="10"/>
      <c r="H285" s="10"/>
      <c r="I285" s="10"/>
      <c r="J285" s="10"/>
      <c r="K285" s="10"/>
      <c r="L285" s="10"/>
      <c r="M285" s="10"/>
      <c r="N285" s="11"/>
      <c r="O285" s="10"/>
      <c r="P285" s="10"/>
      <c r="Q285" s="10"/>
      <c r="R285" s="10"/>
      <c r="S285" s="10"/>
      <c r="T285" s="10"/>
      <c r="U285" s="10"/>
      <c r="V285" s="10"/>
      <c r="W285" s="10"/>
      <c r="X285" s="10"/>
      <c r="Y285" s="10"/>
      <c r="Z285" s="10"/>
      <c r="AA285" s="10"/>
    </row>
    <row r="286" spans="1:27">
      <c r="A286" s="12" t="s">
        <v>62</v>
      </c>
      <c r="B286" s="10"/>
      <c r="C286" s="10" t="s">
        <v>2</v>
      </c>
      <c r="D286" s="10"/>
      <c r="E286" s="10"/>
      <c r="F286" s="10"/>
      <c r="G286" s="10"/>
      <c r="H286" s="10"/>
      <c r="I286" s="10"/>
      <c r="J286" s="10"/>
      <c r="K286" s="10"/>
      <c r="L286" s="10"/>
      <c r="M286" s="10"/>
      <c r="N286" s="11"/>
      <c r="O286" s="10"/>
      <c r="P286" s="10"/>
      <c r="Q286" s="10"/>
      <c r="R286" s="10"/>
      <c r="S286" s="10"/>
      <c r="T286" s="10"/>
      <c r="U286" s="10"/>
      <c r="V286" s="10"/>
      <c r="W286" s="10"/>
      <c r="X286" s="10"/>
      <c r="Y286" s="10"/>
      <c r="Z286" s="10"/>
      <c r="AA286" s="10"/>
    </row>
    <row r="287" spans="1:27">
      <c r="A287" s="12"/>
      <c r="B287" s="10"/>
      <c r="C287" s="10"/>
      <c r="D287" s="10"/>
      <c r="E287" s="10"/>
      <c r="F287" s="10"/>
      <c r="G287" s="10"/>
      <c r="H287" s="10"/>
      <c r="I287" s="10"/>
      <c r="J287" s="10"/>
      <c r="K287" s="10"/>
      <c r="L287" s="10"/>
      <c r="M287" s="10"/>
      <c r="N287" s="11"/>
      <c r="O287" s="10"/>
      <c r="P287" s="10"/>
      <c r="Q287" s="10"/>
      <c r="R287" s="10"/>
      <c r="S287" s="10"/>
      <c r="T287" s="10"/>
      <c r="U287" s="10"/>
      <c r="V287" s="10"/>
      <c r="W287" s="10"/>
      <c r="X287" s="10"/>
      <c r="Y287" s="10"/>
      <c r="Z287" s="10"/>
      <c r="AA287" s="10"/>
    </row>
    <row r="288" spans="1:27">
      <c r="A288" s="12"/>
      <c r="B288" s="10"/>
      <c r="C288" s="10"/>
      <c r="D288" s="10"/>
      <c r="E288" s="10"/>
      <c r="F288" s="10"/>
      <c r="G288" s="10"/>
      <c r="H288" s="10"/>
      <c r="I288" s="10"/>
      <c r="J288" s="10"/>
      <c r="K288" s="10"/>
      <c r="L288" s="10"/>
      <c r="M288" s="10"/>
      <c r="N288" s="11"/>
      <c r="O288" s="10"/>
      <c r="P288" s="10"/>
      <c r="Q288" s="10"/>
      <c r="R288" s="10"/>
      <c r="S288" s="10"/>
      <c r="T288" s="10"/>
      <c r="U288" s="10"/>
      <c r="V288" s="10"/>
      <c r="W288" s="10"/>
      <c r="X288" s="10"/>
      <c r="Y288" s="10"/>
      <c r="Z288" s="10"/>
      <c r="AA288" s="10"/>
    </row>
    <row r="289" spans="1:27">
      <c r="A289" s="16"/>
      <c r="B289" s="10"/>
      <c r="C289" s="10"/>
      <c r="D289" s="10"/>
      <c r="E289" s="10"/>
      <c r="F289" s="10"/>
      <c r="G289" s="10"/>
      <c r="H289" s="10"/>
      <c r="I289" s="10"/>
      <c r="J289" s="10"/>
      <c r="K289" s="10"/>
      <c r="L289" s="10"/>
      <c r="M289" s="10"/>
      <c r="N289" s="11"/>
      <c r="O289" s="10"/>
      <c r="P289" s="10"/>
      <c r="Q289" s="10"/>
      <c r="R289" s="10"/>
      <c r="S289" s="10"/>
      <c r="T289" s="10"/>
      <c r="U289" s="10"/>
      <c r="V289" s="10"/>
      <c r="W289" s="10"/>
      <c r="X289" s="10"/>
      <c r="Y289" s="10"/>
      <c r="Z289" s="10"/>
      <c r="AA289" s="10"/>
    </row>
    <row r="290" spans="1:27">
      <c r="A290" s="12"/>
      <c r="B290" s="10"/>
      <c r="C290" s="10"/>
      <c r="D290" s="10"/>
      <c r="E290" s="10"/>
      <c r="F290" s="10"/>
      <c r="G290" s="10"/>
      <c r="H290" s="10"/>
      <c r="I290" s="10"/>
      <c r="J290" s="10"/>
      <c r="K290" s="10"/>
      <c r="L290" s="10"/>
      <c r="M290" s="10"/>
      <c r="N290" s="11"/>
      <c r="O290" s="10"/>
      <c r="P290" s="10"/>
      <c r="Q290" s="10"/>
      <c r="R290" s="10"/>
      <c r="S290" s="10"/>
      <c r="T290" s="10"/>
      <c r="U290" s="10"/>
      <c r="V290" s="10"/>
      <c r="W290" s="10"/>
      <c r="X290" s="10"/>
      <c r="Y290" s="10"/>
      <c r="Z290" s="10"/>
      <c r="AA290" s="10"/>
    </row>
    <row r="291" spans="1:27">
      <c r="A291" s="12"/>
      <c r="B291" s="10"/>
      <c r="C291" s="10"/>
      <c r="D291" s="10"/>
      <c r="E291" s="10"/>
      <c r="F291" s="10"/>
      <c r="G291" s="10"/>
      <c r="H291" s="10"/>
      <c r="I291" s="10"/>
      <c r="J291" s="10"/>
      <c r="K291" s="10"/>
      <c r="L291" s="10"/>
      <c r="M291" s="10"/>
      <c r="N291" s="11"/>
      <c r="O291" s="10"/>
      <c r="P291" s="10"/>
      <c r="Q291" s="10"/>
      <c r="R291" s="10"/>
      <c r="S291" s="10"/>
      <c r="T291" s="10"/>
      <c r="U291" s="10"/>
      <c r="V291" s="10"/>
      <c r="W291" s="10"/>
      <c r="X291" s="10"/>
      <c r="Y291" s="10"/>
      <c r="Z291" s="10"/>
      <c r="AA291" s="10"/>
    </row>
    <row r="292" spans="1:27">
      <c r="A292" s="12"/>
      <c r="B292" s="10"/>
      <c r="C292" s="10"/>
      <c r="D292" s="10"/>
      <c r="E292" s="10"/>
      <c r="F292" s="10"/>
      <c r="G292" s="10"/>
      <c r="H292" s="10"/>
      <c r="I292" s="10"/>
      <c r="J292" s="10"/>
      <c r="K292" s="10"/>
      <c r="L292" s="10"/>
      <c r="M292" s="10"/>
      <c r="N292" s="11"/>
      <c r="O292" s="10"/>
      <c r="P292" s="10"/>
      <c r="Q292" s="10"/>
      <c r="R292" s="10"/>
      <c r="S292" s="10"/>
      <c r="T292" s="10"/>
      <c r="U292" s="10"/>
      <c r="V292" s="10"/>
      <c r="W292" s="10"/>
      <c r="X292" s="10"/>
      <c r="Y292" s="10"/>
      <c r="Z292" s="10"/>
      <c r="AA292" s="10"/>
    </row>
    <row r="293" spans="1:27">
      <c r="A293" s="13" t="s">
        <v>25</v>
      </c>
      <c r="B293" s="14"/>
      <c r="C293" s="15"/>
      <c r="D293" s="10"/>
      <c r="E293" s="10"/>
      <c r="F293" s="10"/>
      <c r="G293" s="10"/>
      <c r="H293" s="10"/>
      <c r="I293" s="10"/>
      <c r="J293" s="10"/>
      <c r="K293" s="10"/>
      <c r="L293" s="10"/>
      <c r="M293" s="10"/>
      <c r="N293" s="11"/>
      <c r="O293" s="10"/>
      <c r="P293" s="10"/>
      <c r="Q293" s="10"/>
      <c r="R293" s="10"/>
      <c r="S293" s="10"/>
      <c r="T293" s="10"/>
      <c r="U293" s="10"/>
      <c r="V293" s="10"/>
      <c r="W293" s="10"/>
      <c r="X293" s="10"/>
      <c r="Y293" s="10"/>
      <c r="Z293" s="10"/>
      <c r="AA293" s="10"/>
    </row>
    <row r="294" spans="1:27">
      <c r="A294" s="16" t="s">
        <v>26</v>
      </c>
      <c r="B294" s="10">
        <f>IF('Invoer factoren'!$M$19="X",F279+F280,F279)</f>
        <v>221.4</v>
      </c>
      <c r="C294" s="11" t="s">
        <v>3</v>
      </c>
      <c r="D294" s="10"/>
      <c r="E294" s="10"/>
      <c r="F294" s="10"/>
      <c r="G294" s="10"/>
      <c r="H294" s="10"/>
      <c r="I294" s="10"/>
      <c r="J294" s="10"/>
      <c r="K294" s="10"/>
      <c r="L294" s="10"/>
      <c r="M294" s="10"/>
      <c r="N294" s="11"/>
      <c r="O294" s="10"/>
      <c r="P294" s="10"/>
      <c r="Q294" s="10"/>
      <c r="R294" s="10"/>
      <c r="S294" s="10"/>
      <c r="T294" s="10"/>
      <c r="U294" s="10"/>
      <c r="V294" s="10"/>
      <c r="W294" s="10"/>
      <c r="X294" s="10"/>
      <c r="Y294" s="10"/>
      <c r="Z294" s="10"/>
      <c r="AA294" s="10"/>
    </row>
    <row r="295" spans="1:27">
      <c r="A295" s="21" t="s">
        <v>27</v>
      </c>
      <c r="B295" s="5">
        <f>C14</f>
        <v>125</v>
      </c>
      <c r="C295" s="6" t="s">
        <v>70</v>
      </c>
      <c r="D295" s="10"/>
      <c r="E295" s="10"/>
      <c r="F295" s="10"/>
      <c r="G295" s="10"/>
      <c r="H295" s="10"/>
      <c r="I295" s="10"/>
      <c r="J295" s="10"/>
      <c r="K295" s="10"/>
      <c r="L295" s="10"/>
      <c r="M295" s="10"/>
      <c r="N295" s="11"/>
      <c r="O295" s="10"/>
      <c r="P295" s="10"/>
      <c r="Q295" s="10"/>
      <c r="R295" s="10"/>
      <c r="S295" s="10"/>
      <c r="T295" s="10"/>
      <c r="U295" s="10"/>
      <c r="V295" s="10"/>
      <c r="W295" s="10"/>
      <c r="X295" s="10"/>
      <c r="Y295" s="10"/>
      <c r="Z295" s="10"/>
      <c r="AA295" s="10"/>
    </row>
    <row r="296" spans="1:27">
      <c r="A296" s="120" t="s">
        <v>186</v>
      </c>
      <c r="B296" s="10">
        <f>D14</f>
        <v>100</v>
      </c>
      <c r="C296" s="11" t="s">
        <v>70</v>
      </c>
      <c r="D296" s="10"/>
      <c r="E296" s="10"/>
      <c r="F296" s="10"/>
      <c r="G296" s="10"/>
      <c r="H296" s="10"/>
      <c r="I296" s="10"/>
      <c r="J296" s="10"/>
      <c r="K296" s="10"/>
      <c r="L296" s="10"/>
      <c r="M296" s="10"/>
      <c r="N296" s="11"/>
      <c r="O296" s="10"/>
      <c r="P296" s="10"/>
      <c r="Q296" s="10"/>
      <c r="R296" s="10"/>
      <c r="S296" s="10"/>
      <c r="T296" s="10"/>
      <c r="U296" s="10"/>
      <c r="V296" s="10"/>
      <c r="W296" s="10"/>
      <c r="X296" s="10"/>
      <c r="Y296" s="10"/>
      <c r="Z296" s="10"/>
      <c r="AA296" s="10"/>
    </row>
    <row r="297" spans="1:27">
      <c r="A297" s="120" t="s">
        <v>187</v>
      </c>
      <c r="B297" s="10">
        <f>E14</f>
        <v>150</v>
      </c>
      <c r="C297" s="11" t="s">
        <v>70</v>
      </c>
      <c r="D297" s="10"/>
      <c r="E297" s="10"/>
      <c r="F297" s="10"/>
      <c r="G297" s="10"/>
      <c r="H297" s="10"/>
      <c r="I297" s="10"/>
      <c r="J297" s="10"/>
      <c r="K297" s="10"/>
      <c r="L297" s="10"/>
      <c r="M297" s="10"/>
      <c r="N297" s="11"/>
      <c r="O297" s="10"/>
      <c r="P297" s="10"/>
      <c r="Q297" s="10"/>
      <c r="R297" s="10"/>
      <c r="S297" s="10"/>
      <c r="T297" s="10"/>
      <c r="U297" s="10"/>
      <c r="V297" s="10"/>
      <c r="W297" s="10"/>
      <c r="X297" s="10"/>
      <c r="Y297" s="10"/>
      <c r="Z297" s="10"/>
      <c r="AA297" s="10"/>
    </row>
    <row r="298" spans="1:27">
      <c r="A298" s="54" t="s">
        <v>18</v>
      </c>
      <c r="B298" s="8"/>
      <c r="C298" s="9" t="s">
        <v>66</v>
      </c>
      <c r="D298" s="10"/>
      <c r="E298" s="10"/>
      <c r="F298" s="10"/>
      <c r="G298" s="10"/>
      <c r="H298" s="10"/>
      <c r="I298" s="10"/>
      <c r="J298" s="10"/>
      <c r="K298" s="10"/>
      <c r="L298" s="10"/>
      <c r="M298" s="10"/>
      <c r="N298" s="11"/>
      <c r="O298" s="10"/>
      <c r="P298" s="10"/>
      <c r="Q298" s="10"/>
      <c r="R298" s="10"/>
      <c r="S298" s="10"/>
      <c r="T298" s="10"/>
      <c r="U298" s="10"/>
      <c r="V298" s="10"/>
      <c r="W298" s="10"/>
      <c r="X298" s="10"/>
      <c r="Y298" s="10"/>
      <c r="Z298" s="10"/>
      <c r="AA298" s="10"/>
    </row>
    <row r="299" spans="1:27">
      <c r="A299" s="21" t="s">
        <v>71</v>
      </c>
      <c r="B299" s="5">
        <f>H14</f>
        <v>0</v>
      </c>
      <c r="C299" s="6" t="s">
        <v>70</v>
      </c>
      <c r="D299" s="10"/>
      <c r="E299" s="10"/>
      <c r="F299" s="10"/>
      <c r="G299" s="10"/>
      <c r="H299" s="10"/>
      <c r="I299" s="10"/>
      <c r="J299" s="10"/>
      <c r="K299" s="10"/>
      <c r="L299" s="10"/>
      <c r="M299" s="10"/>
      <c r="N299" s="11"/>
      <c r="O299" s="10"/>
      <c r="P299" s="10"/>
      <c r="Q299" s="10"/>
      <c r="R299" s="10"/>
      <c r="S299" s="10"/>
      <c r="T299" s="10"/>
      <c r="U299" s="10"/>
      <c r="V299" s="10"/>
      <c r="W299" s="10"/>
      <c r="X299" s="10"/>
      <c r="Y299" s="10"/>
      <c r="Z299" s="10"/>
      <c r="AA299" s="10"/>
    </row>
    <row r="300" spans="1:27">
      <c r="A300" s="16" t="s">
        <v>72</v>
      </c>
      <c r="B300" s="10">
        <f>B299*B301</f>
        <v>0</v>
      </c>
      <c r="C300" s="11" t="s">
        <v>66</v>
      </c>
      <c r="D300" s="10"/>
      <c r="E300" s="10"/>
      <c r="F300" s="10"/>
      <c r="G300" s="10"/>
      <c r="H300" s="10"/>
      <c r="I300" s="10"/>
      <c r="J300" s="10"/>
      <c r="K300" s="10"/>
      <c r="L300" s="10"/>
      <c r="M300" s="10"/>
      <c r="N300" s="11"/>
      <c r="O300" s="10"/>
      <c r="P300" s="10"/>
      <c r="Q300" s="10"/>
      <c r="R300" s="10"/>
      <c r="S300" s="10"/>
      <c r="T300" s="10"/>
      <c r="U300" s="10"/>
      <c r="V300" s="10"/>
      <c r="W300" s="10"/>
      <c r="X300" s="10"/>
      <c r="Y300" s="10"/>
      <c r="Z300" s="10"/>
      <c r="AA300" s="10"/>
    </row>
    <row r="301" spans="1:27">
      <c r="A301" s="16" t="s">
        <v>159</v>
      </c>
      <c r="B301" s="10">
        <f>B294/B284</f>
        <v>590.4</v>
      </c>
      <c r="C301" s="58" t="s">
        <v>54</v>
      </c>
      <c r="D301" s="10"/>
      <c r="E301" s="10"/>
      <c r="F301" s="10"/>
      <c r="G301" s="10"/>
      <c r="H301" s="10"/>
      <c r="I301" s="10"/>
      <c r="J301" s="10"/>
      <c r="K301" s="10"/>
      <c r="L301" s="10"/>
      <c r="M301" s="10"/>
      <c r="N301" s="11"/>
      <c r="O301" s="10"/>
      <c r="P301" s="10"/>
      <c r="Q301" s="10"/>
      <c r="R301" s="10"/>
      <c r="S301" s="10"/>
      <c r="T301" s="10"/>
      <c r="U301" s="10"/>
      <c r="V301" s="10"/>
      <c r="W301" s="10"/>
      <c r="X301" s="10"/>
      <c r="Y301" s="10"/>
      <c r="Z301" s="10"/>
      <c r="AA301" s="10"/>
    </row>
    <row r="302" spans="1:27">
      <c r="A302" s="121" t="s">
        <v>160</v>
      </c>
      <c r="B302" s="5">
        <f>B301*B295</f>
        <v>73800</v>
      </c>
      <c r="C302" s="6" t="s">
        <v>66</v>
      </c>
      <c r="D302" s="118"/>
      <c r="E302" s="10"/>
      <c r="F302" s="10"/>
      <c r="G302" s="10"/>
      <c r="H302" s="10"/>
      <c r="I302" s="10"/>
      <c r="J302" s="10"/>
      <c r="K302" s="10"/>
      <c r="L302" s="10"/>
      <c r="M302" s="10"/>
      <c r="N302" s="11"/>
      <c r="O302" s="10"/>
      <c r="P302" s="10"/>
      <c r="Q302" s="10"/>
      <c r="R302" s="10"/>
      <c r="S302" s="10"/>
      <c r="T302" s="10"/>
      <c r="U302" s="10"/>
      <c r="V302" s="10"/>
      <c r="W302" s="10"/>
      <c r="X302" s="10"/>
      <c r="Y302" s="10"/>
      <c r="Z302" s="10"/>
      <c r="AA302" s="10"/>
    </row>
    <row r="303" spans="1:27">
      <c r="A303" s="16" t="s">
        <v>182</v>
      </c>
      <c r="B303" s="10">
        <f>B301*B296</f>
        <v>59040</v>
      </c>
      <c r="C303" s="11" t="s">
        <v>66</v>
      </c>
      <c r="D303" s="10"/>
      <c r="E303" s="10"/>
      <c r="F303" s="10"/>
      <c r="G303" s="10"/>
      <c r="H303" s="10"/>
      <c r="I303" s="10"/>
      <c r="J303" s="10"/>
      <c r="K303" s="10"/>
      <c r="L303" s="10"/>
      <c r="M303" s="10"/>
      <c r="N303" s="11"/>
      <c r="O303" s="10"/>
      <c r="P303" s="10"/>
      <c r="Q303" s="10"/>
      <c r="R303" s="10"/>
      <c r="S303" s="10"/>
      <c r="T303" s="10"/>
      <c r="U303" s="10"/>
      <c r="V303" s="10"/>
      <c r="W303" s="10"/>
      <c r="X303" s="10"/>
      <c r="Y303" s="10"/>
      <c r="Z303" s="10"/>
      <c r="AA303" s="10"/>
    </row>
    <row r="304" spans="1:27">
      <c r="A304" s="49" t="s">
        <v>183</v>
      </c>
      <c r="B304" s="8">
        <f>B301*B297</f>
        <v>88560</v>
      </c>
      <c r="C304" s="9" t="s">
        <v>66</v>
      </c>
      <c r="D304" s="10"/>
      <c r="E304" s="10"/>
      <c r="F304" s="10"/>
      <c r="G304" s="10"/>
      <c r="H304" s="10"/>
      <c r="I304" s="10"/>
      <c r="J304" s="10"/>
      <c r="K304" s="10"/>
      <c r="L304" s="10"/>
      <c r="M304" s="10"/>
      <c r="N304" s="11"/>
      <c r="O304" s="10"/>
      <c r="P304" s="10"/>
      <c r="Q304" s="10"/>
      <c r="R304" s="10"/>
      <c r="S304" s="10"/>
      <c r="T304" s="10"/>
      <c r="U304" s="10"/>
      <c r="V304" s="10"/>
      <c r="W304" s="10"/>
      <c r="X304" s="10"/>
      <c r="Y304" s="10"/>
      <c r="Z304" s="10"/>
      <c r="AA304" s="10"/>
    </row>
    <row r="305" spans="1:27">
      <c r="A305" s="12"/>
      <c r="B305" s="10"/>
      <c r="C305" s="10"/>
      <c r="D305" s="10"/>
      <c r="E305" s="10"/>
      <c r="F305" s="10"/>
      <c r="G305" s="10"/>
      <c r="H305" s="10"/>
      <c r="I305" s="10"/>
      <c r="J305" s="10"/>
      <c r="K305" s="10"/>
      <c r="L305" s="10"/>
      <c r="M305" s="10"/>
      <c r="N305" s="11"/>
      <c r="O305" s="10"/>
      <c r="P305" s="10"/>
      <c r="Q305" s="10"/>
      <c r="R305" s="10"/>
      <c r="S305" s="10"/>
      <c r="T305" s="10"/>
      <c r="U305" s="10"/>
      <c r="V305" s="10"/>
      <c r="W305" s="10"/>
      <c r="X305" s="10"/>
      <c r="Y305" s="10"/>
      <c r="Z305" s="10"/>
      <c r="AA305" s="10"/>
    </row>
    <row r="306" spans="1:27">
      <c r="A306" s="12"/>
      <c r="B306" s="10"/>
      <c r="C306" s="10"/>
      <c r="D306" s="10"/>
      <c r="E306" s="10"/>
      <c r="F306" s="10"/>
      <c r="G306" s="10"/>
      <c r="H306" s="10"/>
      <c r="I306" s="10"/>
      <c r="J306" s="10"/>
      <c r="K306" s="10"/>
      <c r="L306" s="10"/>
      <c r="M306" s="10"/>
      <c r="N306" s="11"/>
      <c r="O306" s="10"/>
      <c r="P306" s="10"/>
      <c r="Q306" s="10"/>
      <c r="R306" s="10"/>
      <c r="S306" s="10"/>
      <c r="T306" s="10"/>
      <c r="U306" s="10"/>
      <c r="V306" s="10"/>
      <c r="W306" s="10"/>
      <c r="X306" s="10"/>
      <c r="Y306" s="10"/>
      <c r="Z306" s="10"/>
      <c r="AA306" s="10"/>
    </row>
    <row r="307" spans="1:27">
      <c r="A307" s="80" t="s">
        <v>313</v>
      </c>
      <c r="B307" s="5"/>
      <c r="C307" s="5"/>
      <c r="D307" s="5"/>
      <c r="E307" s="79" t="s">
        <v>166</v>
      </c>
      <c r="F307" s="79"/>
      <c r="G307" s="79"/>
      <c r="H307" s="5"/>
      <c r="I307" s="5"/>
      <c r="J307" s="5"/>
      <c r="K307" s="5"/>
      <c r="L307" s="5"/>
      <c r="M307" s="5"/>
      <c r="N307" s="6"/>
      <c r="O307" s="10"/>
      <c r="P307" s="10"/>
      <c r="Q307" s="10"/>
      <c r="R307" s="10"/>
      <c r="S307" s="10"/>
      <c r="T307" s="10"/>
      <c r="U307" s="10"/>
      <c r="V307" s="10"/>
      <c r="W307" s="10"/>
      <c r="X307" s="10"/>
      <c r="Y307" s="10"/>
      <c r="Z307" s="10"/>
      <c r="AA307" s="10"/>
    </row>
    <row r="308" spans="1:27">
      <c r="A308" s="12"/>
      <c r="B308" s="10"/>
      <c r="C308" s="10"/>
      <c r="D308" s="10"/>
      <c r="E308" s="10" t="s">
        <v>154</v>
      </c>
      <c r="F308" s="10">
        <f>Reken!R9</f>
        <v>221.4</v>
      </c>
      <c r="G308" s="10" t="s">
        <v>3</v>
      </c>
      <c r="H308" s="10"/>
      <c r="I308" s="10"/>
      <c r="J308" s="10"/>
      <c r="K308" s="10"/>
      <c r="L308" s="10"/>
      <c r="M308" s="10"/>
      <c r="N308" s="11"/>
      <c r="O308" s="10"/>
      <c r="P308" s="10"/>
      <c r="Q308" s="10"/>
      <c r="R308" s="10"/>
      <c r="S308" s="10"/>
      <c r="T308" s="10"/>
      <c r="U308" s="10"/>
      <c r="V308" s="10"/>
      <c r="W308" s="10"/>
      <c r="X308" s="10"/>
      <c r="Y308" s="10"/>
      <c r="Z308" s="10"/>
      <c r="AA308" s="10"/>
    </row>
    <row r="309" spans="1:27">
      <c r="A309" s="4" t="s">
        <v>59</v>
      </c>
      <c r="B309" s="36">
        <v>0.4</v>
      </c>
      <c r="C309" s="6" t="s">
        <v>8</v>
      </c>
      <c r="D309" s="10"/>
      <c r="E309" s="10" t="s">
        <v>155</v>
      </c>
      <c r="F309" s="10">
        <f>Reken!R7</f>
        <v>225</v>
      </c>
      <c r="G309" s="10" t="s">
        <v>3</v>
      </c>
      <c r="H309" s="10"/>
      <c r="I309" s="10"/>
      <c r="J309" s="10"/>
      <c r="K309" s="10"/>
      <c r="L309" s="10"/>
      <c r="M309" s="10"/>
      <c r="N309" s="11"/>
      <c r="O309" s="10"/>
      <c r="P309" s="10"/>
      <c r="Q309" s="10"/>
      <c r="R309" s="10"/>
      <c r="S309" s="10"/>
      <c r="T309" s="10"/>
      <c r="U309" s="10"/>
      <c r="V309" s="10"/>
      <c r="W309" s="10"/>
      <c r="X309" s="10"/>
      <c r="Y309" s="10"/>
      <c r="Z309" s="10"/>
      <c r="AA309" s="10"/>
    </row>
    <row r="310" spans="1:27">
      <c r="A310" s="7" t="s">
        <v>37</v>
      </c>
      <c r="B310" s="129">
        <v>0</v>
      </c>
      <c r="C310" s="9"/>
      <c r="D310" s="10"/>
      <c r="E310" s="10"/>
      <c r="F310" s="10"/>
      <c r="G310" s="10"/>
      <c r="H310" s="10"/>
      <c r="I310" s="10"/>
      <c r="J310" s="10"/>
      <c r="K310" s="10"/>
      <c r="L310" s="10"/>
      <c r="M310" s="10"/>
      <c r="N310" s="11"/>
      <c r="O310" s="10"/>
      <c r="P310" s="10"/>
      <c r="Q310" s="10"/>
      <c r="R310" s="10"/>
      <c r="S310" s="10"/>
      <c r="T310" s="10"/>
      <c r="U310" s="10"/>
      <c r="V310" s="10"/>
      <c r="W310" s="10"/>
      <c r="X310" s="10"/>
      <c r="Y310" s="10"/>
      <c r="Z310" s="10"/>
      <c r="AA310" s="10"/>
    </row>
    <row r="311" spans="1:27">
      <c r="A311" s="40"/>
      <c r="B311" s="10"/>
      <c r="C311" s="10"/>
      <c r="D311" s="10"/>
      <c r="E311" s="10"/>
      <c r="F311" s="10"/>
      <c r="G311" s="10"/>
      <c r="H311" s="10"/>
      <c r="I311" s="10"/>
      <c r="J311" s="10"/>
      <c r="K311" s="10"/>
      <c r="L311" s="10"/>
      <c r="M311" s="10"/>
      <c r="N311" s="11"/>
      <c r="O311" s="10"/>
      <c r="P311" s="10"/>
      <c r="Q311" s="10"/>
      <c r="R311" s="10"/>
      <c r="S311" s="10"/>
      <c r="T311" s="10"/>
      <c r="U311" s="10"/>
      <c r="V311" s="10"/>
      <c r="W311" s="10"/>
      <c r="X311" s="10"/>
      <c r="Y311" s="10"/>
      <c r="Z311" s="10"/>
      <c r="AA311" s="10"/>
    </row>
    <row r="312" spans="1:27">
      <c r="A312" s="162"/>
      <c r="B312" s="10"/>
      <c r="C312" s="10"/>
      <c r="D312" s="10"/>
      <c r="E312" s="10"/>
      <c r="F312" s="10"/>
      <c r="G312" s="10"/>
      <c r="H312" s="10"/>
      <c r="I312" s="10"/>
      <c r="J312" s="10"/>
      <c r="K312" s="10"/>
      <c r="L312" s="10"/>
      <c r="M312" s="10"/>
      <c r="N312" s="11"/>
      <c r="O312" s="10"/>
      <c r="P312" s="10"/>
      <c r="Q312" s="10"/>
      <c r="R312" s="10"/>
      <c r="S312" s="10"/>
      <c r="T312" s="10"/>
      <c r="U312" s="10"/>
      <c r="V312" s="10"/>
      <c r="W312" s="10"/>
      <c r="X312" s="10"/>
      <c r="Y312" s="10"/>
      <c r="Z312" s="10"/>
      <c r="AA312" s="10"/>
    </row>
    <row r="313" spans="1:27">
      <c r="A313" s="162"/>
      <c r="B313" s="10"/>
      <c r="C313" s="10"/>
      <c r="D313" s="10"/>
      <c r="E313" s="10"/>
      <c r="F313" s="28"/>
      <c r="G313" s="28"/>
      <c r="H313" s="28"/>
      <c r="I313" s="28"/>
      <c r="J313" s="10"/>
      <c r="K313" s="10"/>
      <c r="L313" s="10"/>
      <c r="M313" s="10"/>
      <c r="N313" s="11"/>
      <c r="O313" s="10"/>
      <c r="P313" s="10"/>
      <c r="Q313" s="10"/>
      <c r="R313" s="10"/>
      <c r="S313" s="10"/>
      <c r="T313" s="10"/>
      <c r="U313" s="10"/>
      <c r="V313" s="10"/>
      <c r="W313" s="10"/>
      <c r="X313" s="10"/>
      <c r="Y313" s="10"/>
      <c r="Z313" s="10"/>
      <c r="AA313" s="10"/>
    </row>
    <row r="314" spans="1:27">
      <c r="A314" s="162"/>
      <c r="B314" s="10"/>
      <c r="C314" s="10"/>
      <c r="D314" s="10"/>
      <c r="E314" s="10"/>
      <c r="F314" s="47"/>
      <c r="G314" s="47"/>
      <c r="H314" s="47"/>
      <c r="I314" s="47"/>
      <c r="J314" s="10"/>
      <c r="K314" s="10"/>
      <c r="L314" s="10"/>
      <c r="M314" s="10"/>
      <c r="N314" s="11"/>
      <c r="O314" s="10"/>
      <c r="P314" s="10"/>
      <c r="Q314" s="10"/>
      <c r="R314" s="10"/>
      <c r="S314" s="10"/>
      <c r="T314" s="10"/>
      <c r="U314" s="10"/>
      <c r="V314" s="10"/>
      <c r="W314" s="10"/>
      <c r="X314" s="10"/>
      <c r="Y314" s="10"/>
      <c r="Z314" s="10"/>
      <c r="AA314" s="10"/>
    </row>
    <row r="315" spans="1:27">
      <c r="A315" s="162"/>
      <c r="B315" s="10"/>
      <c r="C315" s="10"/>
      <c r="D315" s="10"/>
      <c r="E315" s="10"/>
      <c r="F315" s="28"/>
      <c r="G315" s="28"/>
      <c r="H315" s="28"/>
      <c r="I315" s="28"/>
      <c r="J315" s="10"/>
      <c r="K315" s="10"/>
      <c r="L315" s="10"/>
      <c r="M315" s="10"/>
      <c r="N315" s="11"/>
      <c r="O315" s="10"/>
      <c r="P315" s="10"/>
      <c r="Q315" s="10"/>
      <c r="R315" s="10"/>
      <c r="S315" s="10"/>
      <c r="T315" s="10"/>
      <c r="U315" s="10"/>
      <c r="V315" s="10"/>
      <c r="W315" s="10"/>
      <c r="X315" s="10"/>
      <c r="Y315" s="10"/>
      <c r="Z315" s="10"/>
      <c r="AA315" s="10"/>
    </row>
    <row r="316" spans="1:27">
      <c r="A316" s="162"/>
      <c r="B316" s="10"/>
      <c r="C316" s="10"/>
      <c r="D316" s="10"/>
      <c r="E316" s="10"/>
      <c r="F316" s="28"/>
      <c r="G316" s="28"/>
      <c r="H316" s="28"/>
      <c r="I316" s="28"/>
      <c r="J316" s="10"/>
      <c r="K316" s="10"/>
      <c r="L316" s="10"/>
      <c r="M316" s="10"/>
      <c r="N316" s="11"/>
      <c r="O316" s="10"/>
      <c r="P316" s="10"/>
      <c r="Q316" s="10"/>
      <c r="R316" s="10"/>
      <c r="S316" s="10"/>
      <c r="T316" s="10"/>
      <c r="U316" s="10"/>
      <c r="V316" s="10"/>
      <c r="W316" s="10"/>
      <c r="X316" s="10"/>
      <c r="Y316" s="10"/>
      <c r="Z316" s="10"/>
      <c r="AA316" s="10"/>
    </row>
    <row r="317" spans="1:27">
      <c r="A317" s="162"/>
      <c r="B317" s="10"/>
      <c r="C317" s="10"/>
      <c r="D317" s="10"/>
      <c r="E317" s="10"/>
      <c r="F317" s="28"/>
      <c r="G317" s="28"/>
      <c r="H317" s="28"/>
      <c r="I317" s="28"/>
      <c r="J317" s="10"/>
      <c r="K317" s="10"/>
      <c r="L317" s="10"/>
      <c r="M317" s="10"/>
      <c r="N317" s="11"/>
      <c r="O317" s="10"/>
      <c r="P317" s="10"/>
      <c r="Q317" s="10"/>
      <c r="R317" s="10"/>
      <c r="S317" s="10"/>
      <c r="T317" s="10"/>
      <c r="U317" s="10"/>
      <c r="V317" s="10"/>
      <c r="W317" s="10"/>
      <c r="X317" s="10"/>
      <c r="Y317" s="10"/>
      <c r="Z317" s="10"/>
      <c r="AA317" s="10"/>
    </row>
    <row r="318" spans="1:27">
      <c r="A318" s="12"/>
      <c r="B318" s="10"/>
      <c r="C318" s="10"/>
      <c r="D318" s="10"/>
      <c r="E318" s="10"/>
      <c r="F318" s="28"/>
      <c r="G318" s="28"/>
      <c r="H318" s="28"/>
      <c r="I318" s="28"/>
      <c r="J318" s="10"/>
      <c r="K318" s="10"/>
      <c r="L318" s="10"/>
      <c r="M318" s="10"/>
      <c r="N318" s="11"/>
      <c r="O318" s="10"/>
      <c r="P318" s="10"/>
      <c r="Q318" s="10"/>
      <c r="R318" s="10"/>
      <c r="S318" s="10"/>
      <c r="T318" s="10"/>
      <c r="U318" s="10"/>
      <c r="V318" s="10"/>
      <c r="W318" s="10"/>
      <c r="X318" s="10"/>
      <c r="Y318" s="10"/>
      <c r="Z318" s="10"/>
      <c r="AA318" s="10"/>
    </row>
    <row r="319" spans="1:27">
      <c r="A319" s="12"/>
      <c r="B319" s="10"/>
      <c r="C319" s="10"/>
      <c r="D319" s="10"/>
      <c r="E319" s="10"/>
      <c r="F319" s="28"/>
      <c r="G319" s="28"/>
      <c r="H319" s="28"/>
      <c r="I319" s="28"/>
      <c r="J319" s="10"/>
      <c r="K319" s="10"/>
      <c r="L319" s="10"/>
      <c r="M319" s="10"/>
      <c r="N319" s="11"/>
      <c r="O319" s="10"/>
      <c r="P319" s="10"/>
      <c r="Q319" s="10"/>
      <c r="R319" s="10"/>
      <c r="S319" s="10"/>
      <c r="T319" s="10"/>
      <c r="U319" s="10"/>
      <c r="V319" s="10"/>
      <c r="W319" s="10"/>
      <c r="X319" s="10"/>
      <c r="Y319" s="10"/>
      <c r="Z319" s="10"/>
      <c r="AA319" s="10"/>
    </row>
    <row r="320" spans="1:27">
      <c r="A320" s="12"/>
      <c r="B320" s="10"/>
      <c r="C320" s="10"/>
      <c r="D320" s="10"/>
      <c r="E320" s="10"/>
      <c r="F320" s="28"/>
      <c r="G320" s="28"/>
      <c r="H320" s="28"/>
      <c r="I320" s="28"/>
      <c r="J320" s="10"/>
      <c r="K320" s="10"/>
      <c r="L320" s="10"/>
      <c r="M320" s="10"/>
      <c r="N320" s="11"/>
      <c r="O320" s="10"/>
      <c r="P320" s="10"/>
      <c r="Q320" s="10"/>
      <c r="R320" s="10"/>
      <c r="S320" s="10"/>
      <c r="T320" s="10"/>
      <c r="U320" s="10"/>
      <c r="V320" s="10"/>
      <c r="W320" s="10"/>
      <c r="X320" s="10"/>
      <c r="Y320" s="10"/>
      <c r="Z320" s="10"/>
      <c r="AA320" s="10"/>
    </row>
    <row r="321" spans="1:27">
      <c r="A321" s="13" t="s">
        <v>25</v>
      </c>
      <c r="B321" s="14"/>
      <c r="C321" s="15"/>
      <c r="D321" s="10"/>
      <c r="E321" s="10"/>
      <c r="F321" s="28"/>
      <c r="G321" s="28"/>
      <c r="H321" s="28"/>
      <c r="I321" s="28"/>
      <c r="J321" s="10"/>
      <c r="K321" s="10"/>
      <c r="L321" s="10"/>
      <c r="M321" s="10"/>
      <c r="N321" s="11"/>
      <c r="O321" s="10"/>
      <c r="P321" s="10"/>
      <c r="Q321" s="10"/>
      <c r="R321" s="10"/>
      <c r="S321" s="10"/>
      <c r="T321" s="10"/>
      <c r="U321" s="10"/>
      <c r="V321" s="10"/>
      <c r="W321" s="10"/>
      <c r="X321" s="10"/>
      <c r="Y321" s="10"/>
      <c r="Z321" s="10"/>
      <c r="AA321" s="10"/>
    </row>
    <row r="322" spans="1:27">
      <c r="A322" s="16" t="s">
        <v>26</v>
      </c>
      <c r="B322" s="10">
        <f>IF('Invoer factoren'!$M$19="X",F308+F309,F308)</f>
        <v>221.4</v>
      </c>
      <c r="C322" s="11" t="s">
        <v>3</v>
      </c>
      <c r="D322" s="10"/>
      <c r="E322" s="10"/>
      <c r="F322" s="28"/>
      <c r="G322" s="28"/>
      <c r="H322" s="28"/>
      <c r="I322" s="28"/>
      <c r="J322" s="10"/>
      <c r="K322" s="10"/>
      <c r="L322" s="10"/>
      <c r="M322" s="10"/>
      <c r="N322" s="11"/>
      <c r="O322" s="10"/>
      <c r="P322" s="10"/>
      <c r="Q322" s="10"/>
      <c r="R322" s="10"/>
      <c r="S322" s="10"/>
      <c r="T322" s="10"/>
      <c r="U322" s="10"/>
      <c r="V322" s="10"/>
      <c r="W322" s="10"/>
      <c r="X322" s="10"/>
      <c r="Y322" s="10"/>
      <c r="Z322" s="10"/>
      <c r="AA322" s="10"/>
    </row>
    <row r="323" spans="1:27">
      <c r="A323" s="21" t="s">
        <v>185</v>
      </c>
      <c r="B323" s="5">
        <f>C15</f>
        <v>1650</v>
      </c>
      <c r="C323" s="6" t="s">
        <v>3</v>
      </c>
      <c r="D323" s="10"/>
      <c r="E323" s="10"/>
      <c r="F323" s="28"/>
      <c r="G323" s="28"/>
      <c r="H323" s="28"/>
      <c r="I323" s="28"/>
      <c r="J323" s="10"/>
      <c r="K323" s="10"/>
      <c r="L323" s="10"/>
      <c r="M323" s="10"/>
      <c r="N323" s="11"/>
      <c r="O323" s="10"/>
      <c r="P323" s="10"/>
      <c r="Q323" s="10"/>
      <c r="R323" s="10"/>
      <c r="S323" s="10"/>
      <c r="T323" s="10"/>
      <c r="U323" s="10"/>
      <c r="V323" s="10"/>
      <c r="W323" s="10"/>
      <c r="X323" s="10"/>
      <c r="Y323" s="10"/>
      <c r="Z323" s="10"/>
      <c r="AA323" s="10"/>
    </row>
    <row r="324" spans="1:27">
      <c r="A324" s="120" t="s">
        <v>186</v>
      </c>
      <c r="B324" s="10">
        <f>D15</f>
        <v>300</v>
      </c>
      <c r="C324" s="11" t="s">
        <v>3</v>
      </c>
      <c r="D324" s="10"/>
      <c r="E324" s="10"/>
      <c r="F324" s="10"/>
      <c r="G324" s="10"/>
      <c r="H324" s="10"/>
      <c r="I324" s="10"/>
      <c r="J324" s="10"/>
      <c r="K324" s="10"/>
      <c r="L324" s="10"/>
      <c r="M324" s="10"/>
      <c r="N324" s="11"/>
      <c r="O324" s="10"/>
      <c r="P324" s="10"/>
      <c r="Q324" s="10"/>
      <c r="R324" s="10"/>
      <c r="S324" s="10"/>
      <c r="T324" s="10"/>
      <c r="U324" s="10"/>
      <c r="V324" s="10"/>
      <c r="W324" s="10"/>
      <c r="X324" s="10"/>
      <c r="Y324" s="10"/>
      <c r="Z324" s="10"/>
      <c r="AA324" s="10"/>
    </row>
    <row r="325" spans="1:27">
      <c r="A325" s="120" t="s">
        <v>187</v>
      </c>
      <c r="B325" s="10">
        <f>E15</f>
        <v>3000</v>
      </c>
      <c r="C325" s="11" t="s">
        <v>3</v>
      </c>
      <c r="D325" s="10"/>
      <c r="E325" s="10"/>
      <c r="F325" s="10"/>
      <c r="G325" s="10"/>
      <c r="H325" s="10"/>
      <c r="I325" s="10"/>
      <c r="J325" s="10"/>
      <c r="K325" s="10"/>
      <c r="L325" s="10"/>
      <c r="M325" s="10"/>
      <c r="N325" s="11"/>
      <c r="O325" s="10"/>
      <c r="P325" s="10"/>
      <c r="Q325" s="10"/>
      <c r="R325" s="10"/>
      <c r="S325" s="10"/>
      <c r="T325" s="10"/>
      <c r="U325" s="10"/>
      <c r="V325" s="10"/>
      <c r="W325" s="10"/>
      <c r="X325" s="10"/>
      <c r="Y325" s="10"/>
      <c r="Z325" s="10"/>
      <c r="AA325" s="10"/>
    </row>
    <row r="326" spans="1:27">
      <c r="A326" s="54" t="s">
        <v>18</v>
      </c>
      <c r="B326" s="8">
        <f>B330/B322</f>
        <v>1650</v>
      </c>
      <c r="C326" s="9" t="s">
        <v>66</v>
      </c>
      <c r="D326" s="10"/>
      <c r="E326" s="10"/>
      <c r="F326" s="10"/>
      <c r="G326" s="10"/>
      <c r="H326" s="10"/>
      <c r="I326" s="10"/>
      <c r="J326" s="10"/>
      <c r="K326" s="10"/>
      <c r="L326" s="10"/>
      <c r="M326" s="10"/>
      <c r="N326" s="11"/>
      <c r="O326" s="10"/>
      <c r="P326" s="10"/>
      <c r="Q326" s="10"/>
      <c r="R326" s="10"/>
      <c r="S326" s="10"/>
      <c r="T326" s="10"/>
      <c r="U326" s="10"/>
      <c r="V326" s="10"/>
      <c r="W326" s="10"/>
      <c r="X326" s="10"/>
      <c r="Y326" s="10"/>
      <c r="Z326" s="10"/>
      <c r="AA326" s="10"/>
    </row>
    <row r="327" spans="1:27">
      <c r="A327" s="21" t="s">
        <v>71</v>
      </c>
      <c r="B327" s="5">
        <f>H15</f>
        <v>1.8</v>
      </c>
      <c r="C327" s="6" t="s">
        <v>3</v>
      </c>
      <c r="D327" s="10"/>
      <c r="E327" s="10"/>
      <c r="F327" s="10"/>
      <c r="G327" s="10"/>
      <c r="H327" s="10"/>
      <c r="I327" s="10"/>
      <c r="J327" s="10"/>
      <c r="K327" s="10"/>
      <c r="L327" s="10"/>
      <c r="M327" s="10"/>
      <c r="N327" s="11"/>
      <c r="O327" s="10"/>
      <c r="P327" s="10"/>
      <c r="Q327" s="10"/>
      <c r="R327" s="10"/>
      <c r="S327" s="10"/>
      <c r="T327" s="10"/>
      <c r="U327" s="10"/>
      <c r="V327" s="10"/>
      <c r="W327" s="10"/>
      <c r="X327" s="10"/>
      <c r="Y327" s="10"/>
      <c r="Z327" s="10"/>
      <c r="AA327" s="10"/>
    </row>
    <row r="328" spans="1:27">
      <c r="A328" s="54" t="s">
        <v>72</v>
      </c>
      <c r="B328" s="8">
        <f>B327*B322</f>
        <v>398.52000000000004</v>
      </c>
      <c r="C328" s="9" t="s">
        <v>66</v>
      </c>
      <c r="D328" s="10"/>
      <c r="E328" s="10"/>
      <c r="F328" s="10"/>
      <c r="G328" s="10"/>
      <c r="H328" s="10"/>
      <c r="I328" s="10"/>
      <c r="J328" s="10"/>
      <c r="K328" s="10"/>
      <c r="L328" s="10"/>
      <c r="M328" s="10"/>
      <c r="N328" s="11"/>
      <c r="O328" s="10"/>
      <c r="P328" s="10"/>
      <c r="Q328" s="10"/>
      <c r="R328" s="10"/>
      <c r="S328" s="10"/>
      <c r="T328" s="10"/>
      <c r="U328" s="10"/>
      <c r="V328" s="10"/>
      <c r="W328" s="10"/>
      <c r="X328" s="10"/>
      <c r="Y328" s="10"/>
      <c r="Z328" s="10"/>
      <c r="AA328" s="10"/>
    </row>
    <row r="329" spans="1:27">
      <c r="A329" s="16" t="s">
        <v>153</v>
      </c>
      <c r="B329" s="10">
        <f>B322/B309</f>
        <v>553.5</v>
      </c>
      <c r="C329" s="58" t="s">
        <v>2</v>
      </c>
      <c r="D329" s="10"/>
      <c r="E329" s="10"/>
      <c r="F329" s="10"/>
      <c r="G329" s="10"/>
      <c r="H329" s="10"/>
      <c r="I329" s="10"/>
      <c r="J329" s="10"/>
      <c r="K329" s="10"/>
      <c r="L329" s="10"/>
      <c r="M329" s="10"/>
      <c r="N329" s="11"/>
      <c r="O329" s="10"/>
      <c r="P329" s="10"/>
      <c r="Q329" s="10"/>
      <c r="R329" s="10"/>
      <c r="S329" s="10"/>
      <c r="T329" s="10"/>
      <c r="U329" s="10"/>
      <c r="V329" s="10"/>
      <c r="W329" s="10"/>
      <c r="X329" s="10"/>
      <c r="Y329" s="10"/>
      <c r="Z329" s="10"/>
      <c r="AA329" s="10"/>
    </row>
    <row r="330" spans="1:27">
      <c r="A330" s="121" t="s">
        <v>181</v>
      </c>
      <c r="B330" s="5">
        <f>B323*B322</f>
        <v>365310</v>
      </c>
      <c r="C330" s="6" t="s">
        <v>66</v>
      </c>
      <c r="D330" s="10"/>
      <c r="E330" s="10"/>
      <c r="F330" s="10"/>
      <c r="G330" s="10"/>
      <c r="H330" s="10"/>
      <c r="I330" s="10"/>
      <c r="J330" s="10"/>
      <c r="K330" s="10"/>
      <c r="L330" s="10"/>
      <c r="M330" s="10"/>
      <c r="N330" s="11"/>
      <c r="O330" s="10"/>
      <c r="P330" s="10"/>
      <c r="Q330" s="10"/>
      <c r="R330" s="10"/>
      <c r="S330" s="10"/>
      <c r="T330" s="10"/>
      <c r="U330" s="10"/>
      <c r="V330" s="10"/>
      <c r="W330" s="10"/>
      <c r="X330" s="10"/>
      <c r="Y330" s="10"/>
      <c r="Z330" s="10"/>
      <c r="AA330" s="10"/>
    </row>
    <row r="331" spans="1:27">
      <c r="A331" s="16" t="s">
        <v>182</v>
      </c>
      <c r="B331" s="10">
        <f>B322*B324</f>
        <v>66420</v>
      </c>
      <c r="C331" s="11" t="s">
        <v>66</v>
      </c>
      <c r="D331" s="118"/>
      <c r="E331" s="10"/>
      <c r="F331" s="10"/>
      <c r="G331" s="10"/>
      <c r="H331" s="10"/>
      <c r="I331" s="10"/>
      <c r="J331" s="10"/>
      <c r="K331" s="10"/>
      <c r="L331" s="10"/>
      <c r="M331" s="10"/>
      <c r="N331" s="11"/>
      <c r="O331" s="10"/>
      <c r="P331" s="10"/>
      <c r="Q331" s="10"/>
      <c r="R331" s="10"/>
      <c r="S331" s="10"/>
      <c r="T331" s="10"/>
      <c r="U331" s="10"/>
      <c r="V331" s="10"/>
      <c r="W331" s="10"/>
      <c r="X331" s="10"/>
      <c r="Y331" s="10"/>
      <c r="Z331" s="10"/>
      <c r="AA331" s="10"/>
    </row>
    <row r="332" spans="1:27">
      <c r="A332" s="49" t="s">
        <v>183</v>
      </c>
      <c r="B332" s="8">
        <f>B322*B325</f>
        <v>664200</v>
      </c>
      <c r="C332" s="9" t="s">
        <v>66</v>
      </c>
      <c r="D332" s="10"/>
      <c r="E332" s="10"/>
      <c r="F332" s="10"/>
      <c r="G332" s="10"/>
      <c r="H332" s="10"/>
      <c r="I332" s="10"/>
      <c r="J332" s="10"/>
      <c r="K332" s="10"/>
      <c r="L332" s="10"/>
      <c r="M332" s="10"/>
      <c r="N332" s="11"/>
      <c r="O332" s="10"/>
      <c r="P332" s="10"/>
      <c r="Q332" s="10"/>
      <c r="R332" s="10"/>
      <c r="S332" s="10"/>
      <c r="T332" s="10"/>
      <c r="U332" s="10"/>
      <c r="V332" s="10"/>
      <c r="W332" s="10"/>
      <c r="X332" s="10"/>
      <c r="Y332" s="10"/>
      <c r="Z332" s="10"/>
      <c r="AA332" s="10"/>
    </row>
    <row r="333" spans="1:27">
      <c r="A333" s="12"/>
      <c r="B333" s="10"/>
      <c r="C333" s="10"/>
      <c r="D333" s="10"/>
      <c r="E333" s="10"/>
      <c r="F333" s="10"/>
      <c r="G333" s="10"/>
      <c r="H333" s="10"/>
      <c r="I333" s="10"/>
      <c r="J333" s="10"/>
      <c r="K333" s="10"/>
      <c r="L333" s="10"/>
      <c r="M333" s="10"/>
      <c r="N333" s="11"/>
      <c r="O333" s="10"/>
      <c r="P333" s="10"/>
      <c r="Q333" s="10"/>
      <c r="R333" s="10"/>
      <c r="S333" s="10"/>
      <c r="T333" s="10"/>
      <c r="U333" s="10"/>
      <c r="V333" s="10"/>
      <c r="W333" s="10"/>
      <c r="X333" s="10"/>
      <c r="Y333" s="10"/>
      <c r="Z333" s="10"/>
      <c r="AA333" s="10"/>
    </row>
    <row r="334" spans="1:27">
      <c r="A334" s="12"/>
      <c r="B334" s="10"/>
      <c r="C334" s="10"/>
      <c r="D334" s="10"/>
      <c r="E334" s="10"/>
      <c r="F334" s="10"/>
      <c r="G334" s="10"/>
      <c r="H334" s="10"/>
      <c r="I334" s="10"/>
      <c r="J334" s="10"/>
      <c r="K334" s="10"/>
      <c r="L334" s="10"/>
      <c r="M334" s="10"/>
      <c r="N334" s="11"/>
      <c r="O334" s="10"/>
      <c r="P334" s="10"/>
      <c r="Q334" s="10"/>
      <c r="R334" s="10"/>
      <c r="S334" s="10"/>
      <c r="T334" s="10"/>
      <c r="U334" s="10"/>
      <c r="V334" s="10"/>
      <c r="W334" s="10"/>
      <c r="X334" s="10"/>
      <c r="Y334" s="10"/>
      <c r="Z334" s="10"/>
      <c r="AA334" s="10"/>
    </row>
    <row r="335" spans="1:27">
      <c r="A335" s="80" t="s">
        <v>314</v>
      </c>
      <c r="B335" s="5"/>
      <c r="C335" s="5"/>
      <c r="D335" s="79"/>
      <c r="E335" s="79" t="s">
        <v>166</v>
      </c>
      <c r="F335" s="5"/>
      <c r="G335" s="5"/>
      <c r="H335" s="5"/>
      <c r="I335" s="5"/>
      <c r="J335" s="5"/>
      <c r="K335" s="5"/>
      <c r="L335" s="5"/>
      <c r="M335" s="5"/>
      <c r="N335" s="6"/>
      <c r="O335" s="10"/>
      <c r="P335" s="10"/>
      <c r="Q335" s="10"/>
      <c r="R335" s="10"/>
      <c r="S335" s="10"/>
      <c r="T335" s="10"/>
      <c r="U335" s="10"/>
      <c r="V335" s="10"/>
      <c r="W335" s="10"/>
      <c r="X335" s="10"/>
      <c r="Y335" s="10"/>
      <c r="Z335" s="10"/>
      <c r="AA335" s="10"/>
    </row>
    <row r="336" spans="1:27">
      <c r="A336" s="16" t="s">
        <v>180</v>
      </c>
      <c r="B336" s="10"/>
      <c r="C336" s="10"/>
      <c r="D336" s="10"/>
      <c r="E336" s="10" t="s">
        <v>154</v>
      </c>
      <c r="F336" s="10">
        <f>Reken!R9</f>
        <v>221.4</v>
      </c>
      <c r="G336" s="10" t="s">
        <v>3</v>
      </c>
      <c r="H336" s="10"/>
      <c r="I336" s="10"/>
      <c r="J336" s="10"/>
      <c r="K336" s="10"/>
      <c r="L336" s="10"/>
      <c r="M336" s="10"/>
      <c r="N336" s="11"/>
      <c r="O336" s="10"/>
      <c r="P336" s="10"/>
      <c r="Q336" s="10"/>
      <c r="R336" s="10"/>
      <c r="S336" s="10"/>
      <c r="T336" s="10"/>
      <c r="U336" s="10"/>
      <c r="V336" s="10"/>
      <c r="W336" s="10"/>
      <c r="X336" s="10"/>
      <c r="Y336" s="10"/>
      <c r="Z336" s="10"/>
      <c r="AA336" s="10"/>
    </row>
    <row r="337" spans="1:27">
      <c r="A337" s="34" t="s">
        <v>63</v>
      </c>
      <c r="B337" s="35">
        <v>0.5</v>
      </c>
      <c r="C337" s="15" t="s">
        <v>8</v>
      </c>
      <c r="D337" s="10"/>
      <c r="E337" s="10" t="s">
        <v>155</v>
      </c>
      <c r="F337" s="10">
        <f>Reken!R7</f>
        <v>225</v>
      </c>
      <c r="G337" s="10" t="s">
        <v>3</v>
      </c>
      <c r="H337" s="10"/>
      <c r="I337" s="10"/>
      <c r="J337" s="10"/>
      <c r="K337" s="10"/>
      <c r="L337" s="10"/>
      <c r="M337" s="10"/>
      <c r="N337" s="11"/>
      <c r="O337" s="10"/>
      <c r="P337" s="10"/>
      <c r="Q337" s="10"/>
      <c r="R337" s="10"/>
      <c r="S337" s="10"/>
      <c r="T337" s="10"/>
      <c r="U337" s="10"/>
      <c r="V337" s="10"/>
      <c r="W337" s="10"/>
      <c r="X337" s="10"/>
      <c r="Y337" s="10"/>
      <c r="Z337" s="10"/>
      <c r="AA337" s="10"/>
    </row>
    <row r="338" spans="1:27">
      <c r="A338" s="12" t="s">
        <v>64</v>
      </c>
      <c r="B338" s="10">
        <f>PI()*((B337/2)^(2))</f>
        <v>0.19634954084936207</v>
      </c>
      <c r="C338" s="10" t="s">
        <v>2</v>
      </c>
      <c r="D338" s="10"/>
      <c r="E338" s="10"/>
      <c r="F338" s="10"/>
      <c r="G338" s="10"/>
      <c r="H338" s="10"/>
      <c r="I338" s="10"/>
      <c r="J338" s="10"/>
      <c r="K338" s="10"/>
      <c r="L338" s="10"/>
      <c r="M338" s="10"/>
      <c r="N338" s="11"/>
      <c r="O338" s="10"/>
      <c r="P338" s="10"/>
      <c r="Q338" s="10"/>
      <c r="R338" s="10"/>
      <c r="S338" s="10"/>
      <c r="T338" s="10"/>
      <c r="U338" s="10"/>
      <c r="V338" s="10"/>
      <c r="W338" s="10"/>
      <c r="X338" s="10"/>
      <c r="Y338" s="10"/>
      <c r="Z338" s="10"/>
      <c r="AA338" s="10"/>
    </row>
    <row r="339" spans="1:27">
      <c r="A339" s="12" t="s">
        <v>56</v>
      </c>
      <c r="B339" s="10">
        <v>0.5</v>
      </c>
      <c r="C339" s="10" t="s">
        <v>20</v>
      </c>
      <c r="D339" s="10"/>
      <c r="E339" s="10"/>
      <c r="F339" s="10"/>
      <c r="G339" s="10"/>
      <c r="H339" s="10"/>
      <c r="I339" s="10"/>
      <c r="J339" s="10"/>
      <c r="K339" s="10"/>
      <c r="L339" s="10"/>
      <c r="M339" s="10"/>
      <c r="N339" s="11"/>
      <c r="O339" s="10"/>
      <c r="P339" s="10"/>
      <c r="Q339" s="10"/>
      <c r="R339" s="10"/>
      <c r="S339" s="10"/>
      <c r="T339" s="10"/>
      <c r="U339" s="10"/>
      <c r="V339" s="10"/>
      <c r="W339" s="10"/>
      <c r="X339" s="10"/>
      <c r="Y339" s="10"/>
      <c r="Z339" s="10"/>
      <c r="AA339" s="10"/>
    </row>
    <row r="340" spans="1:27">
      <c r="A340" s="12" t="s">
        <v>65</v>
      </c>
      <c r="B340" s="10">
        <f>PI()*(B337/2)</f>
        <v>0.78539816339744828</v>
      </c>
      <c r="C340" s="10" t="s">
        <v>8</v>
      </c>
      <c r="D340" s="10"/>
      <c r="E340" s="10"/>
      <c r="F340" s="10"/>
      <c r="G340" s="10"/>
      <c r="H340" s="10"/>
      <c r="I340" s="10"/>
      <c r="J340" s="10"/>
      <c r="K340" s="10"/>
      <c r="L340" s="10"/>
      <c r="M340" s="10"/>
      <c r="N340" s="11"/>
      <c r="O340" s="10"/>
      <c r="P340" s="10"/>
      <c r="Q340" s="10"/>
      <c r="R340" s="10"/>
      <c r="S340" s="10"/>
      <c r="T340" s="10"/>
      <c r="U340" s="10"/>
      <c r="V340" s="10"/>
      <c r="W340" s="10"/>
      <c r="X340" s="10"/>
      <c r="Y340" s="10"/>
      <c r="Z340" s="10"/>
      <c r="AA340" s="10"/>
    </row>
    <row r="341" spans="1:27">
      <c r="A341" s="12" t="s">
        <v>36</v>
      </c>
      <c r="B341" s="10"/>
      <c r="C341" s="10" t="s">
        <v>2</v>
      </c>
      <c r="D341" s="10"/>
      <c r="E341" s="10"/>
      <c r="F341" s="10"/>
      <c r="G341" s="10"/>
      <c r="H341" s="10"/>
      <c r="I341" s="10"/>
      <c r="J341" s="10"/>
      <c r="K341" s="10"/>
      <c r="L341" s="10"/>
      <c r="M341" s="10"/>
      <c r="N341" s="11"/>
      <c r="O341" s="10"/>
      <c r="P341" s="10"/>
      <c r="Q341" s="10"/>
      <c r="R341" s="10"/>
      <c r="S341" s="10"/>
      <c r="T341" s="10"/>
      <c r="U341" s="10"/>
      <c r="V341" s="10"/>
      <c r="W341" s="10"/>
      <c r="X341" s="10"/>
      <c r="Y341" s="10"/>
      <c r="Z341" s="10"/>
      <c r="AA341" s="10"/>
    </row>
    <row r="342" spans="1:27">
      <c r="A342" s="12" t="s">
        <v>165</v>
      </c>
      <c r="B342" s="10">
        <f>B337*1</f>
        <v>0.5</v>
      </c>
      <c r="C342" s="10" t="s">
        <v>2</v>
      </c>
      <c r="D342" s="10"/>
      <c r="E342" s="10"/>
      <c r="F342" s="10"/>
      <c r="G342" s="10"/>
      <c r="H342" s="10"/>
      <c r="I342" s="10"/>
      <c r="J342" s="10"/>
      <c r="K342" s="10"/>
      <c r="L342" s="10"/>
      <c r="M342" s="10"/>
      <c r="N342" s="11"/>
      <c r="O342" s="10"/>
      <c r="P342" s="10"/>
      <c r="Q342" s="10"/>
      <c r="R342" s="10"/>
      <c r="S342" s="10"/>
      <c r="T342" s="10"/>
      <c r="U342" s="10"/>
      <c r="V342" s="10"/>
      <c r="W342" s="10"/>
      <c r="X342" s="10"/>
      <c r="Y342" s="10"/>
      <c r="Z342" s="10"/>
      <c r="AA342" s="10"/>
    </row>
    <row r="343" spans="1:27">
      <c r="A343" s="12" t="s">
        <v>107</v>
      </c>
      <c r="B343" s="10">
        <f>B338*1</f>
        <v>0.19634954084936207</v>
      </c>
      <c r="C343" s="10" t="s">
        <v>3</v>
      </c>
      <c r="D343" s="10"/>
      <c r="E343" s="10"/>
      <c r="F343" s="10"/>
      <c r="G343" s="10"/>
      <c r="H343" s="10"/>
      <c r="I343" s="10"/>
      <c r="J343" s="10"/>
      <c r="K343" s="10"/>
      <c r="L343" s="10"/>
      <c r="M343" s="10"/>
      <c r="N343" s="11"/>
      <c r="O343" s="10"/>
      <c r="P343" s="10"/>
      <c r="Q343" s="10"/>
      <c r="R343" s="10"/>
      <c r="S343" s="10"/>
      <c r="T343" s="10"/>
      <c r="U343" s="10"/>
      <c r="V343" s="10"/>
      <c r="W343" s="10"/>
      <c r="X343" s="10"/>
      <c r="Y343" s="10"/>
      <c r="Z343" s="10"/>
      <c r="AA343" s="10"/>
    </row>
    <row r="344" spans="1:27">
      <c r="A344" s="12"/>
      <c r="B344" s="10"/>
      <c r="C344" s="10"/>
      <c r="D344" s="10"/>
      <c r="E344" s="10"/>
      <c r="F344" s="10"/>
      <c r="G344" s="10"/>
      <c r="H344" s="10"/>
      <c r="I344" s="10"/>
      <c r="J344" s="10"/>
      <c r="K344" s="10"/>
      <c r="L344" s="10"/>
      <c r="M344" s="10"/>
      <c r="N344" s="11"/>
      <c r="O344" s="10"/>
      <c r="P344" s="10"/>
      <c r="Q344" s="10"/>
      <c r="R344" s="10"/>
      <c r="S344" s="10"/>
      <c r="T344" s="10"/>
      <c r="U344" s="10"/>
      <c r="V344" s="10"/>
      <c r="W344" s="10"/>
      <c r="X344" s="10"/>
      <c r="Y344" s="10"/>
      <c r="Z344" s="10"/>
      <c r="AA344" s="10"/>
    </row>
    <row r="345" spans="1:27">
      <c r="A345" s="12"/>
      <c r="B345" s="10"/>
      <c r="C345" s="10"/>
      <c r="D345" s="10"/>
      <c r="E345" s="10"/>
      <c r="F345" s="10"/>
      <c r="G345" s="10"/>
      <c r="H345" s="10"/>
      <c r="I345" s="10"/>
      <c r="J345" s="10"/>
      <c r="K345" s="10"/>
      <c r="L345" s="10"/>
      <c r="M345" s="10"/>
      <c r="N345" s="11"/>
      <c r="O345" s="10"/>
      <c r="P345" s="10"/>
      <c r="Q345" s="10"/>
      <c r="R345" s="10"/>
      <c r="S345" s="10"/>
      <c r="T345" s="10"/>
      <c r="U345" s="10"/>
      <c r="V345" s="10"/>
      <c r="W345" s="10"/>
      <c r="X345" s="10"/>
      <c r="Y345" s="10"/>
      <c r="Z345" s="10"/>
      <c r="AA345" s="10"/>
    </row>
    <row r="346" spans="1:27">
      <c r="A346" s="12"/>
      <c r="B346" s="10"/>
      <c r="C346" s="10"/>
      <c r="D346" s="10"/>
      <c r="E346" s="10"/>
      <c r="F346" s="10"/>
      <c r="G346" s="10"/>
      <c r="H346" s="10"/>
      <c r="I346" s="10"/>
      <c r="J346" s="10"/>
      <c r="K346" s="10"/>
      <c r="L346" s="10"/>
      <c r="M346" s="10"/>
      <c r="N346" s="11"/>
      <c r="O346" s="10"/>
      <c r="P346" s="10"/>
      <c r="Q346" s="10"/>
      <c r="R346" s="10"/>
      <c r="S346" s="10"/>
      <c r="T346" s="10"/>
      <c r="U346" s="10"/>
      <c r="V346" s="10"/>
      <c r="W346" s="10"/>
      <c r="X346" s="10"/>
      <c r="Y346" s="10"/>
      <c r="Z346" s="10"/>
      <c r="AA346" s="10"/>
    </row>
    <row r="347" spans="1:27">
      <c r="A347" s="13" t="s">
        <v>25</v>
      </c>
      <c r="B347" s="14"/>
      <c r="C347" s="15"/>
      <c r="D347" s="10"/>
      <c r="E347" s="10"/>
      <c r="F347" s="10"/>
      <c r="G347" s="10"/>
      <c r="H347" s="10"/>
      <c r="I347" s="10"/>
      <c r="J347" s="10"/>
      <c r="K347" s="10"/>
      <c r="L347" s="10"/>
      <c r="M347" s="10"/>
      <c r="N347" s="11"/>
      <c r="O347" s="10"/>
      <c r="P347" s="10"/>
      <c r="Q347" s="10"/>
      <c r="R347" s="10"/>
      <c r="S347" s="10"/>
      <c r="T347" s="10"/>
      <c r="U347" s="10"/>
      <c r="V347" s="10"/>
      <c r="W347" s="10"/>
      <c r="X347" s="10"/>
      <c r="Y347" s="10"/>
      <c r="Z347" s="10"/>
      <c r="AA347" s="10"/>
    </row>
    <row r="348" spans="1:27">
      <c r="A348" s="16" t="s">
        <v>26</v>
      </c>
      <c r="B348" s="10">
        <f>IF('Invoer factoren'!$M$19="X",F336+F337,F336)</f>
        <v>221.4</v>
      </c>
      <c r="C348" s="11" t="s">
        <v>3</v>
      </c>
      <c r="D348" s="10"/>
      <c r="E348" s="10"/>
      <c r="F348" s="10"/>
      <c r="G348" s="10"/>
      <c r="H348" s="10"/>
      <c r="I348" s="10"/>
      <c r="J348" s="10"/>
      <c r="K348" s="10"/>
      <c r="L348" s="10"/>
      <c r="M348" s="10"/>
      <c r="N348" s="11"/>
      <c r="O348" s="10"/>
      <c r="P348" s="10"/>
      <c r="Q348" s="10"/>
      <c r="R348" s="10"/>
      <c r="S348" s="10"/>
      <c r="T348" s="10"/>
      <c r="U348" s="10"/>
      <c r="V348" s="10"/>
      <c r="W348" s="10"/>
      <c r="X348" s="10"/>
      <c r="Y348" s="10"/>
      <c r="Z348" s="10"/>
      <c r="AA348" s="10"/>
    </row>
    <row r="349" spans="1:27">
      <c r="A349" s="21" t="s">
        <v>27</v>
      </c>
      <c r="B349" s="5">
        <f>C16</f>
        <v>175</v>
      </c>
      <c r="C349" s="6" t="s">
        <v>50</v>
      </c>
      <c r="D349" s="10"/>
      <c r="E349" s="10"/>
      <c r="F349" s="10"/>
      <c r="G349" s="10"/>
      <c r="H349" s="10"/>
      <c r="I349" s="10"/>
      <c r="J349" s="10"/>
      <c r="K349" s="10"/>
      <c r="L349" s="10"/>
      <c r="M349" s="10"/>
      <c r="N349" s="11"/>
      <c r="O349" s="10"/>
      <c r="P349" s="10"/>
      <c r="Q349" s="10"/>
      <c r="R349" s="10"/>
      <c r="S349" s="10"/>
      <c r="T349" s="10"/>
      <c r="U349" s="10"/>
      <c r="V349" s="10"/>
      <c r="W349" s="10"/>
      <c r="X349" s="10"/>
      <c r="Y349" s="10"/>
      <c r="Z349" s="10"/>
      <c r="AA349" s="10"/>
    </row>
    <row r="350" spans="1:27">
      <c r="A350" s="120" t="s">
        <v>186</v>
      </c>
      <c r="B350" s="10">
        <f>D16</f>
        <v>175</v>
      </c>
      <c r="C350" s="11" t="s">
        <v>50</v>
      </c>
      <c r="D350" s="10"/>
      <c r="E350" s="10"/>
      <c r="F350" s="10"/>
      <c r="G350" s="10"/>
      <c r="H350" s="10"/>
      <c r="I350" s="10"/>
      <c r="J350" s="10"/>
      <c r="K350" s="10"/>
      <c r="L350" s="10"/>
      <c r="M350" s="10"/>
      <c r="N350" s="11"/>
      <c r="O350" s="10"/>
      <c r="P350" s="10"/>
      <c r="Q350" s="10"/>
      <c r="R350" s="10"/>
      <c r="S350" s="10"/>
      <c r="T350" s="10"/>
      <c r="U350" s="10"/>
      <c r="V350" s="10"/>
      <c r="W350" s="10"/>
      <c r="X350" s="10"/>
      <c r="Y350" s="10"/>
      <c r="Z350" s="10"/>
      <c r="AA350" s="10"/>
    </row>
    <row r="351" spans="1:27">
      <c r="A351" s="120" t="s">
        <v>187</v>
      </c>
      <c r="B351" s="10">
        <f>E16</f>
        <v>175</v>
      </c>
      <c r="C351" s="11" t="s">
        <v>50</v>
      </c>
      <c r="D351" s="10"/>
      <c r="E351" s="10"/>
      <c r="F351" s="10"/>
      <c r="G351" s="10"/>
      <c r="H351" s="10"/>
      <c r="I351" s="10"/>
      <c r="J351" s="10"/>
      <c r="K351" s="10"/>
      <c r="L351" s="10"/>
      <c r="M351" s="10"/>
      <c r="N351" s="11"/>
      <c r="O351" s="10"/>
      <c r="P351" s="10"/>
      <c r="Q351" s="10"/>
      <c r="R351" s="10"/>
      <c r="S351" s="10"/>
      <c r="T351" s="10"/>
      <c r="U351" s="10"/>
      <c r="V351" s="10"/>
      <c r="W351" s="10"/>
      <c r="X351" s="10"/>
      <c r="Y351" s="10"/>
      <c r="Z351" s="10"/>
      <c r="AA351" s="10"/>
    </row>
    <row r="352" spans="1:27">
      <c r="A352" s="54" t="s">
        <v>18</v>
      </c>
      <c r="B352" s="8">
        <f>B357/B348</f>
        <v>891.26768131461404</v>
      </c>
      <c r="C352" s="9" t="s">
        <v>66</v>
      </c>
      <c r="D352" s="10"/>
      <c r="E352" s="10"/>
      <c r="F352" s="10"/>
      <c r="G352" s="10"/>
      <c r="H352" s="10"/>
      <c r="I352" s="10"/>
      <c r="J352" s="10"/>
      <c r="K352" s="10"/>
      <c r="L352" s="10"/>
      <c r="M352" s="10"/>
      <c r="N352" s="11"/>
      <c r="O352" s="10"/>
      <c r="P352" s="10"/>
      <c r="Q352" s="10"/>
      <c r="R352" s="10"/>
      <c r="S352" s="10"/>
      <c r="T352" s="10"/>
      <c r="U352" s="10"/>
      <c r="V352" s="10"/>
      <c r="W352" s="10"/>
      <c r="X352" s="10"/>
      <c r="Y352" s="10"/>
      <c r="Z352" s="10"/>
      <c r="AA352" s="10"/>
    </row>
    <row r="353" spans="1:27">
      <c r="A353" s="21" t="s">
        <v>71</v>
      </c>
      <c r="B353" s="5">
        <f>H16</f>
        <v>7.1</v>
      </c>
      <c r="C353" s="6" t="s">
        <v>50</v>
      </c>
      <c r="D353" s="10"/>
      <c r="E353" s="10"/>
      <c r="F353" s="10"/>
      <c r="G353" s="10"/>
      <c r="H353" s="10"/>
      <c r="I353" s="10"/>
      <c r="J353" s="10"/>
      <c r="K353" s="10"/>
      <c r="L353" s="10"/>
      <c r="M353" s="10"/>
      <c r="N353" s="11"/>
      <c r="O353" s="10"/>
      <c r="P353" s="10"/>
      <c r="Q353" s="10"/>
      <c r="R353" s="10"/>
      <c r="S353" s="10"/>
      <c r="T353" s="10"/>
      <c r="U353" s="10"/>
      <c r="V353" s="10"/>
      <c r="W353" s="10"/>
      <c r="X353" s="10"/>
      <c r="Y353" s="10"/>
      <c r="Z353" s="10"/>
      <c r="AA353" s="10"/>
    </row>
    <row r="354" spans="1:27">
      <c r="A354" s="16" t="s">
        <v>72</v>
      </c>
      <c r="B354" s="10">
        <f>B353*B356</f>
        <v>4002.9123399019836</v>
      </c>
      <c r="C354" s="11" t="s">
        <v>66</v>
      </c>
      <c r="D354" s="10"/>
      <c r="E354" s="10"/>
      <c r="F354" s="10"/>
      <c r="G354" s="10"/>
      <c r="H354" s="10"/>
      <c r="I354" s="10"/>
      <c r="J354" s="10"/>
      <c r="K354" s="10"/>
      <c r="L354" s="10"/>
      <c r="M354" s="10"/>
      <c r="N354" s="11"/>
      <c r="O354" s="10"/>
      <c r="P354" s="10"/>
      <c r="Q354" s="10"/>
      <c r="R354" s="10"/>
      <c r="S354" s="10"/>
      <c r="T354" s="10"/>
      <c r="U354" s="10"/>
      <c r="V354" s="10"/>
      <c r="W354" s="10"/>
      <c r="X354" s="10"/>
      <c r="Y354" s="10"/>
      <c r="Z354" s="10"/>
      <c r="AA354" s="10"/>
    </row>
    <row r="355" spans="1:27">
      <c r="A355" s="21" t="s">
        <v>152</v>
      </c>
      <c r="B355" s="5">
        <f>B348/B343</f>
        <v>1127.5809408174603</v>
      </c>
      <c r="C355" s="53" t="s">
        <v>50</v>
      </c>
      <c r="D355" s="10"/>
      <c r="E355" s="10"/>
      <c r="F355" s="10"/>
      <c r="G355" s="10"/>
      <c r="H355" s="10"/>
      <c r="I355" s="10"/>
      <c r="J355" s="10"/>
      <c r="K355" s="10"/>
      <c r="L355" s="10"/>
      <c r="M355" s="10"/>
      <c r="N355" s="11"/>
      <c r="O355" s="10"/>
      <c r="P355" s="10"/>
      <c r="Q355" s="10"/>
      <c r="R355" s="10"/>
      <c r="S355" s="10"/>
      <c r="T355" s="10"/>
      <c r="U355" s="10"/>
      <c r="V355" s="10"/>
      <c r="W355" s="10"/>
      <c r="X355" s="10"/>
      <c r="Y355" s="10"/>
      <c r="Z355" s="10"/>
      <c r="AA355" s="10"/>
    </row>
    <row r="356" spans="1:27">
      <c r="A356" s="16" t="s">
        <v>153</v>
      </c>
      <c r="B356" s="10">
        <f>B337*B355</f>
        <v>563.79047040873013</v>
      </c>
      <c r="C356" s="58" t="s">
        <v>2</v>
      </c>
      <c r="D356" s="10"/>
      <c r="E356" s="10"/>
      <c r="F356" s="10"/>
      <c r="G356" s="10"/>
      <c r="H356" s="10"/>
      <c r="I356" s="10"/>
      <c r="J356" s="10"/>
      <c r="K356" s="10"/>
      <c r="L356" s="10"/>
      <c r="M356" s="10"/>
      <c r="N356" s="11"/>
      <c r="O356" s="10"/>
      <c r="P356" s="10"/>
      <c r="Q356" s="10"/>
      <c r="R356" s="10"/>
      <c r="S356" s="10"/>
      <c r="T356" s="10"/>
      <c r="U356" s="10"/>
      <c r="V356" s="10"/>
      <c r="W356" s="10"/>
      <c r="X356" s="10"/>
      <c r="Y356" s="10"/>
      <c r="Z356" s="10"/>
      <c r="AA356" s="10"/>
    </row>
    <row r="357" spans="1:27">
      <c r="A357" s="121" t="s">
        <v>160</v>
      </c>
      <c r="B357" s="5">
        <f>B355*B349</f>
        <v>197326.66464305556</v>
      </c>
      <c r="C357" s="6" t="s">
        <v>66</v>
      </c>
      <c r="D357" s="10"/>
      <c r="E357" s="10"/>
      <c r="F357" s="10"/>
      <c r="G357" s="10"/>
      <c r="H357" s="10"/>
      <c r="I357" s="10"/>
      <c r="J357" s="10"/>
      <c r="K357" s="10"/>
      <c r="L357" s="10"/>
      <c r="M357" s="10"/>
      <c r="N357" s="11"/>
      <c r="O357" s="10"/>
      <c r="P357" s="10"/>
      <c r="Q357" s="10"/>
      <c r="R357" s="10"/>
      <c r="S357" s="10"/>
      <c r="T357" s="10"/>
      <c r="U357" s="10"/>
      <c r="V357" s="10"/>
      <c r="W357" s="10"/>
      <c r="X357" s="10"/>
      <c r="Y357" s="10"/>
      <c r="Z357" s="10"/>
      <c r="AA357" s="10"/>
    </row>
    <row r="358" spans="1:27">
      <c r="A358" s="16" t="s">
        <v>182</v>
      </c>
      <c r="B358" s="10">
        <f>B355*B350</f>
        <v>197326.66464305556</v>
      </c>
      <c r="C358" s="11" t="s">
        <v>66</v>
      </c>
      <c r="D358" s="118"/>
      <c r="E358" s="10"/>
      <c r="F358" s="10"/>
      <c r="G358" s="10"/>
      <c r="H358" s="10"/>
      <c r="I358" s="10"/>
      <c r="J358" s="10"/>
      <c r="K358" s="10"/>
      <c r="L358" s="10"/>
      <c r="M358" s="10"/>
      <c r="N358" s="11"/>
      <c r="O358" s="10"/>
      <c r="P358" s="10"/>
      <c r="Q358" s="10"/>
      <c r="R358" s="10"/>
      <c r="S358" s="10"/>
      <c r="T358" s="10"/>
      <c r="U358" s="10"/>
      <c r="V358" s="10"/>
      <c r="W358" s="10"/>
      <c r="X358" s="10"/>
      <c r="Y358" s="10"/>
      <c r="Z358" s="10"/>
      <c r="AA358" s="10"/>
    </row>
    <row r="359" spans="1:27">
      <c r="A359" s="49" t="s">
        <v>183</v>
      </c>
      <c r="B359" s="8">
        <f>B355*B351</f>
        <v>197326.66464305556</v>
      </c>
      <c r="C359" s="9" t="s">
        <v>66</v>
      </c>
      <c r="D359" s="10"/>
      <c r="E359" s="10"/>
      <c r="F359" s="10"/>
      <c r="G359" s="10"/>
      <c r="H359" s="10"/>
      <c r="I359" s="10"/>
      <c r="J359" s="10"/>
      <c r="K359" s="10"/>
      <c r="L359" s="10"/>
      <c r="M359" s="10"/>
      <c r="N359" s="11"/>
      <c r="O359" s="10"/>
      <c r="P359" s="10"/>
      <c r="Q359" s="10"/>
      <c r="R359" s="10"/>
      <c r="S359" s="10"/>
      <c r="T359" s="10"/>
      <c r="U359" s="10"/>
      <c r="V359" s="10"/>
      <c r="W359" s="10"/>
      <c r="X359" s="10"/>
      <c r="Y359" s="10"/>
      <c r="Z359" s="10"/>
      <c r="AA359" s="10"/>
    </row>
    <row r="360" spans="1:27">
      <c r="A360" s="120"/>
      <c r="B360" s="10"/>
      <c r="C360" s="10"/>
      <c r="D360" s="10"/>
      <c r="E360" s="10"/>
      <c r="F360" s="10"/>
      <c r="G360" s="10"/>
      <c r="H360" s="10"/>
      <c r="I360" s="10"/>
      <c r="J360" s="10"/>
      <c r="K360" s="10"/>
      <c r="L360" s="10"/>
      <c r="M360" s="10"/>
      <c r="N360" s="11"/>
      <c r="O360" s="10"/>
      <c r="P360" s="10"/>
      <c r="Q360" s="10"/>
      <c r="R360" s="10"/>
      <c r="S360" s="10"/>
      <c r="T360" s="10"/>
      <c r="U360" s="10"/>
      <c r="V360" s="10"/>
      <c r="W360" s="10"/>
      <c r="X360" s="10"/>
      <c r="Y360" s="10"/>
      <c r="Z360" s="10"/>
      <c r="AA360" s="10"/>
    </row>
    <row r="361" spans="1:27">
      <c r="A361" s="12"/>
      <c r="B361" s="10"/>
      <c r="C361" s="10"/>
      <c r="D361" s="10"/>
      <c r="E361" s="10"/>
      <c r="F361" s="10"/>
      <c r="G361" s="10"/>
      <c r="H361" s="10"/>
      <c r="I361" s="10"/>
      <c r="J361" s="10"/>
      <c r="K361" s="10"/>
      <c r="L361" s="10"/>
      <c r="M361" s="10"/>
      <c r="N361" s="11"/>
      <c r="O361" s="10"/>
      <c r="P361" s="10"/>
      <c r="Q361" s="10"/>
      <c r="R361" s="10"/>
      <c r="S361" s="10"/>
      <c r="T361" s="10"/>
      <c r="U361" s="10"/>
      <c r="V361" s="10"/>
      <c r="W361" s="10"/>
      <c r="X361" s="10"/>
      <c r="Y361" s="10"/>
      <c r="Z361" s="10"/>
      <c r="AA361" s="10"/>
    </row>
    <row r="362" spans="1:27">
      <c r="A362" s="80" t="s">
        <v>315</v>
      </c>
      <c r="B362" s="5"/>
      <c r="C362" s="5"/>
      <c r="D362" s="5"/>
      <c r="E362" s="79" t="s">
        <v>166</v>
      </c>
      <c r="F362" s="79"/>
      <c r="G362" s="79"/>
      <c r="H362" s="5"/>
      <c r="I362" s="5"/>
      <c r="J362" s="5"/>
      <c r="K362" s="5"/>
      <c r="L362" s="5"/>
      <c r="M362" s="5"/>
      <c r="N362" s="6"/>
      <c r="O362" s="10"/>
      <c r="P362" s="10"/>
      <c r="Q362" s="10"/>
      <c r="R362" s="10"/>
      <c r="S362" s="10"/>
      <c r="T362" s="10"/>
      <c r="U362" s="10"/>
      <c r="V362" s="10"/>
      <c r="W362" s="10"/>
      <c r="X362" s="10"/>
      <c r="Y362" s="10"/>
      <c r="Z362" s="10"/>
      <c r="AA362" s="10"/>
    </row>
    <row r="363" spans="1:27">
      <c r="A363" s="16" t="s">
        <v>184</v>
      </c>
      <c r="B363" s="111"/>
      <c r="C363" s="111"/>
      <c r="D363" s="111"/>
      <c r="E363" s="10" t="s">
        <v>154</v>
      </c>
      <c r="F363" s="10">
        <f>Reken!R9</f>
        <v>221.4</v>
      </c>
      <c r="G363" s="10" t="s">
        <v>3</v>
      </c>
      <c r="H363" s="10"/>
      <c r="I363" s="10"/>
      <c r="J363" s="10"/>
      <c r="K363" s="10"/>
      <c r="L363" s="10"/>
      <c r="M363" s="10"/>
      <c r="N363" s="11"/>
      <c r="O363" s="10"/>
      <c r="P363" s="10"/>
      <c r="Q363" s="10"/>
      <c r="R363" s="10"/>
      <c r="S363" s="10"/>
      <c r="T363" s="10"/>
      <c r="U363" s="10"/>
      <c r="V363" s="10"/>
      <c r="W363" s="10"/>
      <c r="X363" s="10"/>
      <c r="Y363" s="10"/>
      <c r="Z363" s="10"/>
      <c r="AA363" s="10"/>
    </row>
    <row r="364" spans="1:27">
      <c r="A364" s="4" t="s">
        <v>37</v>
      </c>
      <c r="B364" s="36">
        <v>3</v>
      </c>
      <c r="C364" s="6" t="s">
        <v>20</v>
      </c>
      <c r="D364" s="10"/>
      <c r="E364" s="10" t="s">
        <v>155</v>
      </c>
      <c r="F364" s="10">
        <f>Reken!R7</f>
        <v>225</v>
      </c>
      <c r="G364" s="10" t="s">
        <v>3</v>
      </c>
      <c r="H364" s="10"/>
      <c r="I364" s="10"/>
      <c r="J364" s="10"/>
      <c r="K364" s="10"/>
      <c r="L364" s="10"/>
      <c r="M364" s="10"/>
      <c r="N364" s="11"/>
      <c r="O364" s="10"/>
      <c r="P364" s="10"/>
      <c r="Q364" s="10"/>
      <c r="R364" s="10"/>
      <c r="S364" s="10"/>
      <c r="T364" s="10"/>
      <c r="U364" s="10"/>
      <c r="V364" s="10"/>
      <c r="W364" s="10"/>
      <c r="X364" s="10"/>
      <c r="Y364" s="10"/>
      <c r="Z364" s="10"/>
      <c r="AA364" s="10"/>
    </row>
    <row r="365" spans="1:27">
      <c r="A365" s="12" t="s">
        <v>38</v>
      </c>
      <c r="B365" s="112">
        <v>0.5</v>
      </c>
      <c r="C365" s="11" t="s">
        <v>8</v>
      </c>
      <c r="D365" s="10"/>
      <c r="E365" s="10"/>
      <c r="F365" s="10"/>
      <c r="G365" s="10"/>
      <c r="H365" s="10"/>
      <c r="I365" s="10"/>
      <c r="J365" s="10"/>
      <c r="K365" s="10"/>
      <c r="L365" s="10"/>
      <c r="M365" s="10"/>
      <c r="N365" s="11"/>
      <c r="O365" s="10"/>
      <c r="P365" s="10"/>
      <c r="Q365" s="10"/>
      <c r="R365" s="10"/>
      <c r="S365" s="10"/>
      <c r="T365" s="10"/>
      <c r="U365" s="10"/>
      <c r="V365" s="10"/>
      <c r="W365" s="10"/>
      <c r="X365" s="10"/>
      <c r="Y365" s="10"/>
      <c r="Z365" s="10"/>
      <c r="AA365" s="10"/>
    </row>
    <row r="366" spans="1:27">
      <c r="A366" s="7" t="s">
        <v>39</v>
      </c>
      <c r="B366" s="37">
        <v>1</v>
      </c>
      <c r="C366" s="9" t="s">
        <v>8</v>
      </c>
      <c r="D366" s="10"/>
      <c r="E366" s="10"/>
      <c r="F366" s="10"/>
      <c r="G366" s="10"/>
      <c r="H366" s="10"/>
      <c r="I366" s="10"/>
      <c r="J366" s="10"/>
      <c r="K366" s="10"/>
      <c r="L366" s="10"/>
      <c r="M366" s="10"/>
      <c r="N366" s="11"/>
      <c r="O366" s="10"/>
      <c r="P366" s="10"/>
      <c r="Q366" s="10"/>
      <c r="R366" s="10"/>
      <c r="S366" s="10"/>
      <c r="T366" s="10"/>
      <c r="U366" s="10"/>
      <c r="V366" s="10"/>
      <c r="W366" s="10"/>
      <c r="X366" s="10"/>
      <c r="Y366" s="10"/>
      <c r="Z366" s="10"/>
      <c r="AA366" s="10"/>
    </row>
    <row r="367" spans="1:27">
      <c r="A367" s="12" t="s">
        <v>151</v>
      </c>
      <c r="B367" s="10">
        <f>B366+(2*(B365*B364))</f>
        <v>4</v>
      </c>
      <c r="C367" s="10" t="s">
        <v>8</v>
      </c>
      <c r="D367" s="10"/>
      <c r="E367" s="10"/>
      <c r="F367" s="10"/>
      <c r="G367" s="10"/>
      <c r="H367" s="10"/>
      <c r="I367" s="10"/>
      <c r="J367" s="10"/>
      <c r="K367" s="10"/>
      <c r="L367" s="10"/>
      <c r="M367" s="10"/>
      <c r="N367" s="11"/>
      <c r="O367" s="10"/>
      <c r="P367" s="10"/>
      <c r="Q367" s="10"/>
      <c r="R367" s="10"/>
      <c r="S367" s="10"/>
      <c r="T367" s="10"/>
      <c r="U367" s="10"/>
      <c r="V367" s="10"/>
      <c r="W367" s="10"/>
      <c r="X367" s="10"/>
      <c r="Y367" s="10"/>
      <c r="Z367" s="10"/>
      <c r="AA367" s="10"/>
    </row>
    <row r="368" spans="1:27">
      <c r="A368" s="12" t="s">
        <v>40</v>
      </c>
      <c r="B368" s="10">
        <f>(B366*B365)+((B365*B364)*B365)</f>
        <v>1.25</v>
      </c>
      <c r="C368" s="10" t="s">
        <v>2</v>
      </c>
      <c r="D368" s="10"/>
      <c r="E368" s="10"/>
      <c r="F368" s="10"/>
      <c r="G368" s="10"/>
      <c r="H368" s="10"/>
      <c r="I368" s="10"/>
      <c r="J368" s="10"/>
      <c r="K368" s="10"/>
      <c r="L368" s="10"/>
      <c r="M368" s="10"/>
      <c r="N368" s="11"/>
      <c r="O368" s="10"/>
      <c r="P368" s="10"/>
      <c r="Q368" s="10"/>
      <c r="R368" s="10"/>
      <c r="S368" s="10"/>
      <c r="T368" s="10"/>
      <c r="U368" s="10"/>
      <c r="V368" s="10"/>
      <c r="W368" s="10"/>
      <c r="X368" s="10"/>
      <c r="Y368" s="10"/>
      <c r="Z368" s="10"/>
      <c r="AA368" s="10"/>
    </row>
    <row r="369" spans="1:27">
      <c r="A369" s="12" t="s">
        <v>36</v>
      </c>
      <c r="B369" s="10"/>
      <c r="C369" s="10" t="s">
        <v>2</v>
      </c>
      <c r="D369" s="10"/>
      <c r="E369" s="10"/>
      <c r="F369" s="10"/>
      <c r="G369" s="10"/>
      <c r="H369" s="10"/>
      <c r="I369" s="10"/>
      <c r="J369" s="10"/>
      <c r="K369" s="10"/>
      <c r="L369" s="10"/>
      <c r="M369" s="10"/>
      <c r="N369" s="11"/>
      <c r="O369" s="10"/>
      <c r="P369" s="10"/>
      <c r="Q369" s="10"/>
      <c r="R369" s="10"/>
      <c r="S369" s="10"/>
      <c r="T369" s="10"/>
      <c r="U369" s="10"/>
      <c r="V369" s="10"/>
      <c r="W369" s="10"/>
      <c r="X369" s="10"/>
      <c r="Y369" s="10"/>
      <c r="Z369" s="10"/>
      <c r="AA369" s="10"/>
    </row>
    <row r="370" spans="1:27">
      <c r="A370" s="16"/>
      <c r="B370" s="10"/>
      <c r="C370" s="10"/>
      <c r="D370" s="111"/>
      <c r="E370" s="10"/>
      <c r="F370" s="10"/>
      <c r="G370" s="10"/>
      <c r="H370" s="10"/>
      <c r="I370" s="10"/>
      <c r="J370" s="10"/>
      <c r="K370" s="10"/>
      <c r="L370" s="10"/>
      <c r="M370" s="10"/>
      <c r="N370" s="11"/>
      <c r="O370" s="10"/>
      <c r="P370" s="10"/>
      <c r="Q370" s="10"/>
      <c r="R370" s="10"/>
      <c r="S370" s="10"/>
      <c r="T370" s="10"/>
      <c r="U370" s="10"/>
      <c r="V370" s="10"/>
      <c r="W370" s="10"/>
      <c r="X370" s="10"/>
      <c r="Y370" s="10"/>
      <c r="Z370" s="10"/>
      <c r="AA370" s="10"/>
    </row>
    <row r="371" spans="1:27">
      <c r="A371" s="12"/>
      <c r="B371" s="10"/>
      <c r="C371" s="10"/>
      <c r="D371" s="10"/>
      <c r="E371" s="10"/>
      <c r="F371" s="10"/>
      <c r="G371" s="10"/>
      <c r="H371" s="10"/>
      <c r="I371" s="10"/>
      <c r="J371" s="10"/>
      <c r="K371" s="10"/>
      <c r="L371" s="10"/>
      <c r="M371" s="10"/>
      <c r="N371" s="11"/>
      <c r="O371" s="10"/>
      <c r="P371" s="10"/>
      <c r="Q371" s="10"/>
      <c r="R371" s="10"/>
      <c r="S371" s="10"/>
      <c r="T371" s="10"/>
      <c r="U371" s="10"/>
      <c r="V371" s="10"/>
      <c r="W371" s="10"/>
      <c r="X371" s="10"/>
      <c r="Y371" s="10"/>
      <c r="Z371" s="10"/>
      <c r="AA371" s="10"/>
    </row>
    <row r="372" spans="1:27">
      <c r="A372" s="12"/>
      <c r="B372" s="10"/>
      <c r="C372" s="10"/>
      <c r="D372" s="10"/>
      <c r="E372" s="10"/>
      <c r="F372" s="10"/>
      <c r="G372" s="10"/>
      <c r="H372" s="10"/>
      <c r="I372" s="10"/>
      <c r="J372" s="10"/>
      <c r="K372" s="10"/>
      <c r="L372" s="10"/>
      <c r="M372" s="10"/>
      <c r="N372" s="11"/>
      <c r="O372" s="10"/>
      <c r="P372" s="10"/>
      <c r="Q372" s="10"/>
      <c r="R372" s="10"/>
      <c r="S372" s="10"/>
      <c r="T372" s="10"/>
      <c r="U372" s="10"/>
      <c r="V372" s="10"/>
      <c r="W372" s="10"/>
      <c r="X372" s="10"/>
      <c r="Y372" s="10"/>
      <c r="Z372" s="10"/>
      <c r="AA372" s="10"/>
    </row>
    <row r="373" spans="1:27">
      <c r="A373" s="13" t="s">
        <v>25</v>
      </c>
      <c r="B373" s="14"/>
      <c r="C373" s="15"/>
      <c r="D373" s="10"/>
      <c r="E373" s="10"/>
      <c r="F373" s="10"/>
      <c r="G373" s="10"/>
      <c r="H373" s="10"/>
      <c r="I373" s="10"/>
      <c r="J373" s="10"/>
      <c r="K373" s="10"/>
      <c r="L373" s="10"/>
      <c r="M373" s="10"/>
      <c r="N373" s="11"/>
      <c r="O373" s="10"/>
      <c r="P373" s="10"/>
      <c r="Q373" s="10"/>
      <c r="R373" s="10"/>
      <c r="S373" s="10"/>
      <c r="T373" s="10"/>
      <c r="U373" s="10"/>
      <c r="V373" s="10"/>
      <c r="W373" s="10"/>
      <c r="X373" s="10"/>
      <c r="Y373" s="10"/>
      <c r="Z373" s="10"/>
      <c r="AA373" s="10"/>
    </row>
    <row r="374" spans="1:27">
      <c r="A374" s="16" t="s">
        <v>26</v>
      </c>
      <c r="B374" s="10">
        <f>IF('Invoer factoren'!$M$19="X",F363+F364,F363)</f>
        <v>221.4</v>
      </c>
      <c r="C374" s="11" t="s">
        <v>3</v>
      </c>
      <c r="D374" s="10"/>
      <c r="E374" s="10"/>
      <c r="F374" s="10"/>
      <c r="G374" s="10"/>
      <c r="H374" s="10"/>
      <c r="I374" s="10"/>
      <c r="J374" s="10"/>
      <c r="K374" s="10"/>
      <c r="L374" s="10"/>
      <c r="M374" s="10"/>
      <c r="N374" s="11"/>
      <c r="O374" s="10"/>
      <c r="P374" s="10"/>
      <c r="Q374" s="10"/>
      <c r="R374" s="10"/>
      <c r="S374" s="10"/>
      <c r="T374" s="10"/>
      <c r="U374" s="10"/>
      <c r="V374" s="10"/>
      <c r="W374" s="10"/>
      <c r="X374" s="10"/>
      <c r="Y374" s="10"/>
      <c r="Z374" s="10"/>
      <c r="AA374" s="10"/>
    </row>
    <row r="375" spans="1:27">
      <c r="A375" s="21" t="s">
        <v>27</v>
      </c>
      <c r="B375" s="5">
        <f>C17</f>
        <v>150</v>
      </c>
      <c r="C375" s="6" t="s">
        <v>2</v>
      </c>
      <c r="D375" s="10"/>
      <c r="E375" s="10"/>
      <c r="F375" s="10"/>
      <c r="G375" s="10"/>
      <c r="H375" s="10"/>
      <c r="I375" s="10"/>
      <c r="J375" s="10"/>
      <c r="K375" s="10"/>
      <c r="L375" s="10"/>
      <c r="M375" s="10"/>
      <c r="N375" s="11"/>
      <c r="O375" s="10"/>
      <c r="P375" s="10"/>
      <c r="Q375" s="10"/>
      <c r="R375" s="10"/>
      <c r="S375" s="10"/>
      <c r="T375" s="10"/>
      <c r="U375" s="10"/>
      <c r="V375" s="10"/>
      <c r="W375" s="10"/>
      <c r="X375" s="10"/>
      <c r="Y375" s="10"/>
      <c r="Z375" s="10"/>
      <c r="AA375" s="10"/>
    </row>
    <row r="376" spans="1:27">
      <c r="A376" s="120" t="s">
        <v>186</v>
      </c>
      <c r="B376" s="10">
        <f>D17</f>
        <v>100</v>
      </c>
      <c r="C376" s="11" t="s">
        <v>2</v>
      </c>
      <c r="D376" s="10"/>
      <c r="E376" s="10"/>
      <c r="F376" s="10"/>
      <c r="G376" s="10"/>
      <c r="H376" s="10"/>
      <c r="I376" s="10"/>
      <c r="J376" s="10"/>
      <c r="K376" s="10"/>
      <c r="L376" s="10"/>
      <c r="M376" s="10"/>
      <c r="N376" s="11"/>
      <c r="O376" s="10"/>
      <c r="P376" s="10"/>
      <c r="Q376" s="10"/>
      <c r="R376" s="10"/>
      <c r="S376" s="10"/>
      <c r="T376" s="10"/>
      <c r="U376" s="10"/>
      <c r="V376" s="10"/>
      <c r="W376" s="10"/>
      <c r="X376" s="10"/>
      <c r="Y376" s="10"/>
      <c r="Z376" s="10"/>
      <c r="AA376" s="10"/>
    </row>
    <row r="377" spans="1:27">
      <c r="A377" s="120" t="s">
        <v>187</v>
      </c>
      <c r="B377" s="10">
        <f>E17</f>
        <v>200</v>
      </c>
      <c r="C377" s="11" t="s">
        <v>2</v>
      </c>
      <c r="D377" s="10"/>
      <c r="E377" s="10"/>
      <c r="F377" s="10"/>
      <c r="G377" s="10"/>
      <c r="H377" s="10"/>
      <c r="I377" s="10"/>
      <c r="J377" s="10"/>
      <c r="K377" s="10"/>
      <c r="L377" s="10"/>
      <c r="M377" s="10"/>
      <c r="N377" s="11"/>
      <c r="O377" s="10"/>
      <c r="P377" s="10"/>
      <c r="Q377" s="10"/>
      <c r="R377" s="10"/>
      <c r="S377" s="10"/>
      <c r="T377" s="10"/>
      <c r="U377" s="10"/>
      <c r="V377" s="10"/>
      <c r="W377" s="10"/>
      <c r="X377" s="10"/>
      <c r="Y377" s="10"/>
      <c r="Z377" s="10"/>
      <c r="AA377" s="10"/>
    </row>
    <row r="378" spans="1:27">
      <c r="A378" s="54" t="s">
        <v>18</v>
      </c>
      <c r="B378" s="8">
        <f>B383/B374</f>
        <v>480</v>
      </c>
      <c r="C378" s="9" t="s">
        <v>66</v>
      </c>
      <c r="D378" s="10"/>
      <c r="E378" s="10"/>
      <c r="F378" s="10"/>
      <c r="G378" s="10"/>
      <c r="H378" s="10"/>
      <c r="I378" s="10"/>
      <c r="J378" s="10"/>
      <c r="K378" s="10"/>
      <c r="L378" s="10"/>
      <c r="M378" s="10"/>
      <c r="N378" s="11"/>
      <c r="O378" s="10"/>
      <c r="P378" s="10"/>
      <c r="Q378" s="10"/>
      <c r="R378" s="10"/>
      <c r="S378" s="10"/>
      <c r="T378" s="10"/>
      <c r="U378" s="10"/>
      <c r="V378" s="10"/>
      <c r="W378" s="10"/>
      <c r="X378" s="10"/>
      <c r="Y378" s="10"/>
      <c r="Z378" s="10"/>
      <c r="AA378" s="10"/>
    </row>
    <row r="379" spans="1:27">
      <c r="A379" s="21" t="s">
        <v>71</v>
      </c>
      <c r="B379" s="5">
        <f>H17</f>
        <v>1.1000000000000001</v>
      </c>
      <c r="C379" s="6" t="s">
        <v>50</v>
      </c>
      <c r="D379" s="10"/>
      <c r="E379" s="10"/>
      <c r="F379" s="10"/>
      <c r="G379" s="10"/>
      <c r="H379" s="10"/>
      <c r="I379" s="10"/>
      <c r="J379" s="10"/>
      <c r="K379" s="10"/>
      <c r="L379" s="10"/>
      <c r="M379" s="10"/>
      <c r="N379" s="11"/>
      <c r="O379" s="10"/>
      <c r="P379" s="10"/>
      <c r="Q379" s="10"/>
      <c r="R379" s="10"/>
      <c r="S379" s="10"/>
      <c r="T379" s="10"/>
      <c r="U379" s="10"/>
      <c r="V379" s="10"/>
      <c r="W379" s="10"/>
      <c r="X379" s="10"/>
      <c r="Y379" s="10"/>
      <c r="Z379" s="10"/>
      <c r="AA379" s="10"/>
    </row>
    <row r="380" spans="1:27">
      <c r="A380" s="16" t="s">
        <v>72</v>
      </c>
      <c r="B380" s="10">
        <f>B379*B381</f>
        <v>194.83200000000002</v>
      </c>
      <c r="C380" s="11" t="s">
        <v>66</v>
      </c>
      <c r="D380" s="10"/>
      <c r="E380" s="10"/>
      <c r="F380" s="10"/>
      <c r="G380" s="10"/>
      <c r="H380" s="10"/>
      <c r="I380" s="10"/>
      <c r="J380" s="10"/>
      <c r="K380" s="10"/>
      <c r="L380" s="10"/>
      <c r="M380" s="10"/>
      <c r="N380" s="11"/>
      <c r="O380" s="10"/>
      <c r="P380" s="10"/>
      <c r="Q380" s="10"/>
      <c r="R380" s="10"/>
      <c r="S380" s="10"/>
      <c r="T380" s="10"/>
      <c r="U380" s="10"/>
      <c r="V380" s="10"/>
      <c r="W380" s="10"/>
      <c r="X380" s="10"/>
      <c r="Y380" s="10"/>
      <c r="Z380" s="10"/>
      <c r="AA380" s="10"/>
    </row>
    <row r="381" spans="1:27">
      <c r="A381" s="21" t="s">
        <v>152</v>
      </c>
      <c r="B381" s="5">
        <f>(B374/B368)</f>
        <v>177.12</v>
      </c>
      <c r="C381" s="53" t="s">
        <v>50</v>
      </c>
      <c r="D381" s="10"/>
      <c r="E381" s="10"/>
      <c r="F381" s="10"/>
      <c r="G381" s="10"/>
      <c r="H381" s="10"/>
      <c r="I381" s="10"/>
      <c r="J381" s="10"/>
      <c r="K381" s="10"/>
      <c r="L381" s="10"/>
      <c r="M381" s="10"/>
      <c r="N381" s="11"/>
      <c r="O381" s="10"/>
      <c r="P381" s="10"/>
      <c r="Q381" s="10"/>
      <c r="R381" s="10"/>
      <c r="S381" s="10"/>
      <c r="T381" s="10"/>
      <c r="U381" s="10"/>
      <c r="V381" s="10"/>
      <c r="W381" s="10"/>
      <c r="X381" s="10"/>
      <c r="Y381" s="10"/>
      <c r="Z381" s="10"/>
      <c r="AA381" s="10"/>
    </row>
    <row r="382" spans="1:27">
      <c r="A382" s="16" t="s">
        <v>153</v>
      </c>
      <c r="B382" s="10">
        <f>(B374/B368)*B367</f>
        <v>708.48</v>
      </c>
      <c r="C382" s="58" t="s">
        <v>2</v>
      </c>
      <c r="D382" s="10"/>
      <c r="E382" s="10"/>
      <c r="F382" s="10"/>
      <c r="G382" s="10"/>
      <c r="H382" s="10"/>
      <c r="I382" s="10"/>
      <c r="J382" s="10"/>
      <c r="K382" s="10"/>
      <c r="L382" s="10"/>
      <c r="M382" s="10"/>
      <c r="N382" s="11"/>
      <c r="O382" s="10"/>
      <c r="P382" s="10"/>
      <c r="Q382" s="10"/>
      <c r="R382" s="10"/>
      <c r="S382" s="10"/>
      <c r="T382" s="10"/>
      <c r="U382" s="10"/>
      <c r="V382" s="10"/>
      <c r="W382" s="10"/>
      <c r="X382" s="10"/>
      <c r="Y382" s="10"/>
      <c r="Z382" s="10"/>
      <c r="AA382" s="10"/>
    </row>
    <row r="383" spans="1:27">
      <c r="A383" s="121" t="s">
        <v>160</v>
      </c>
      <c r="B383" s="5">
        <f>B382*B375</f>
        <v>106272</v>
      </c>
      <c r="C383" s="6" t="s">
        <v>66</v>
      </c>
      <c r="D383" s="10"/>
      <c r="E383" s="10"/>
      <c r="F383" s="10"/>
      <c r="G383" s="10"/>
      <c r="H383" s="10"/>
      <c r="I383" s="10"/>
      <c r="J383" s="10"/>
      <c r="K383" s="10"/>
      <c r="L383" s="10"/>
      <c r="M383" s="10"/>
      <c r="N383" s="11"/>
      <c r="O383" s="10"/>
      <c r="P383" s="10"/>
      <c r="Q383" s="10"/>
      <c r="R383" s="10"/>
      <c r="S383" s="10"/>
      <c r="T383" s="10"/>
      <c r="U383" s="10"/>
      <c r="V383" s="10"/>
      <c r="W383" s="10"/>
      <c r="X383" s="10"/>
      <c r="Y383" s="10"/>
      <c r="Z383" s="10"/>
      <c r="AA383" s="10"/>
    </row>
    <row r="384" spans="1:27">
      <c r="A384" s="16" t="s">
        <v>182</v>
      </c>
      <c r="B384" s="10">
        <f>B382*B376</f>
        <v>70848</v>
      </c>
      <c r="C384" s="11" t="s">
        <v>66</v>
      </c>
      <c r="D384" s="10"/>
      <c r="E384" s="10"/>
      <c r="F384" s="10"/>
      <c r="G384" s="10"/>
      <c r="H384" s="10"/>
      <c r="I384" s="10"/>
      <c r="J384" s="10"/>
      <c r="K384" s="10"/>
      <c r="L384" s="10"/>
      <c r="M384" s="10"/>
      <c r="N384" s="11"/>
      <c r="O384" s="10"/>
      <c r="P384" s="10"/>
      <c r="Q384" s="10"/>
      <c r="R384" s="10"/>
      <c r="S384" s="10"/>
      <c r="T384" s="10"/>
      <c r="U384" s="10"/>
      <c r="V384" s="10"/>
      <c r="W384" s="10"/>
      <c r="X384" s="10"/>
      <c r="Y384" s="10"/>
      <c r="Z384" s="10"/>
      <c r="AA384" s="10"/>
    </row>
    <row r="385" spans="1:27">
      <c r="A385" s="49" t="s">
        <v>183</v>
      </c>
      <c r="B385" s="8">
        <f>B382*B377</f>
        <v>141696</v>
      </c>
      <c r="C385" s="9" t="s">
        <v>66</v>
      </c>
      <c r="D385" s="8"/>
      <c r="E385" s="8"/>
      <c r="F385" s="8"/>
      <c r="G385" s="8"/>
      <c r="H385" s="8"/>
      <c r="I385" s="8"/>
      <c r="J385" s="8"/>
      <c r="K385" s="8"/>
      <c r="L385" s="8"/>
      <c r="M385" s="8"/>
      <c r="N385" s="9"/>
      <c r="O385" s="10"/>
      <c r="P385" s="10"/>
      <c r="Q385" s="10"/>
      <c r="R385" s="10"/>
      <c r="S385" s="10"/>
      <c r="T385" s="10"/>
      <c r="U385" s="10"/>
      <c r="V385" s="10"/>
      <c r="W385" s="10"/>
      <c r="X385" s="10"/>
      <c r="Y385" s="10"/>
      <c r="Z385" s="10"/>
      <c r="AA385" s="10"/>
    </row>
    <row r="386" spans="1:27">
      <c r="O386" s="10"/>
      <c r="P386" s="10"/>
      <c r="Q386" s="10"/>
      <c r="R386" s="10"/>
      <c r="S386" s="10"/>
      <c r="T386" s="10"/>
      <c r="U386" s="10"/>
      <c r="V386" s="10"/>
      <c r="W386" s="10"/>
      <c r="X386" s="10"/>
      <c r="Y386" s="10"/>
      <c r="Z386" s="10"/>
      <c r="AA386" s="10"/>
    </row>
    <row r="387" spans="1:27">
      <c r="O387" s="10"/>
      <c r="P387" s="10"/>
      <c r="Q387" s="10"/>
      <c r="R387" s="10"/>
      <c r="S387" s="10"/>
      <c r="T387" s="10"/>
      <c r="U387" s="10"/>
      <c r="V387" s="10"/>
      <c r="W387" s="10"/>
      <c r="X387" s="10"/>
      <c r="Y387" s="10"/>
      <c r="Z387" s="10"/>
      <c r="AA387" s="10"/>
    </row>
    <row r="388" spans="1:27">
      <c r="O388" s="10"/>
      <c r="P388" s="10"/>
      <c r="Q388" s="10"/>
      <c r="R388" s="10"/>
      <c r="S388" s="10"/>
      <c r="T388" s="10"/>
      <c r="U388" s="10"/>
      <c r="V388" s="10"/>
      <c r="W388" s="10"/>
      <c r="X388" s="10"/>
      <c r="Y388" s="10"/>
      <c r="Z388" s="10"/>
      <c r="AA388" s="10"/>
    </row>
    <row r="389" spans="1:27">
      <c r="R389" s="10"/>
      <c r="S389" s="10"/>
      <c r="T389" s="10"/>
      <c r="U389" s="10"/>
      <c r="V389" s="10"/>
      <c r="W389" s="10"/>
      <c r="X389" s="10"/>
      <c r="Y389" s="10"/>
      <c r="Z389" s="10"/>
      <c r="AA389" s="10"/>
    </row>
    <row r="390" spans="1:27">
      <c r="R390" s="10"/>
      <c r="S390" s="10"/>
      <c r="T390" s="10"/>
      <c r="U390" s="10"/>
      <c r="V390" s="10"/>
      <c r="W390" s="10"/>
      <c r="X390" s="10"/>
      <c r="Y390" s="10"/>
      <c r="Z390" s="10"/>
      <c r="AA390" s="10"/>
    </row>
    <row r="391" spans="1:27">
      <c r="R391" s="10"/>
      <c r="S391" s="10"/>
      <c r="T391" s="10"/>
      <c r="U391" s="10"/>
      <c r="V391" s="10"/>
      <c r="W391" s="10"/>
      <c r="X391" s="10"/>
      <c r="Y391" s="10"/>
      <c r="Z391" s="10"/>
      <c r="AA391" s="10"/>
    </row>
    <row r="392" spans="1:27">
      <c r="R392" s="10"/>
      <c r="S392" s="10"/>
      <c r="T392" s="10"/>
      <c r="U392" s="10"/>
      <c r="V392" s="10"/>
      <c r="W392" s="10"/>
      <c r="X392" s="10"/>
      <c r="Y392" s="10"/>
      <c r="Z392" s="10"/>
      <c r="AA392" s="10"/>
    </row>
    <row r="393" spans="1:27">
      <c r="R393" s="10"/>
      <c r="S393" s="10"/>
      <c r="T393" s="10"/>
      <c r="U393" s="10"/>
      <c r="V393" s="10"/>
      <c r="W393" s="10"/>
      <c r="X393" s="10"/>
      <c r="Y393" s="10"/>
      <c r="Z393" s="10"/>
      <c r="AA393" s="10"/>
    </row>
    <row r="394" spans="1:27">
      <c r="R394" s="10"/>
      <c r="S394" s="10"/>
      <c r="T394" s="10"/>
      <c r="U394" s="10"/>
      <c r="V394" s="10"/>
      <c r="W394" s="10"/>
      <c r="X394" s="10"/>
      <c r="Y394" s="10"/>
      <c r="Z394" s="10"/>
      <c r="AA394" s="10"/>
    </row>
    <row r="395" spans="1:27">
      <c r="R395" s="10"/>
      <c r="S395" s="10"/>
      <c r="T395" s="10"/>
      <c r="U395" s="10"/>
      <c r="V395" s="10"/>
      <c r="W395" s="10"/>
      <c r="X395" s="10"/>
      <c r="Y395" s="10"/>
      <c r="Z395" s="10"/>
      <c r="AA395" s="10"/>
    </row>
    <row r="396" spans="1:27">
      <c r="R396" s="10"/>
      <c r="S396" s="10"/>
      <c r="T396" s="10"/>
      <c r="U396" s="10"/>
      <c r="V396" s="10"/>
      <c r="W396" s="10"/>
      <c r="X396" s="10"/>
      <c r="Y396" s="10"/>
      <c r="Z396" s="10"/>
      <c r="AA396" s="10"/>
    </row>
    <row r="397" spans="1:27">
      <c r="R397" s="10"/>
      <c r="S397" s="10"/>
      <c r="T397" s="10"/>
      <c r="U397" s="10"/>
      <c r="V397" s="10"/>
      <c r="W397" s="10"/>
      <c r="X397" s="10"/>
      <c r="Y397" s="10"/>
      <c r="Z397" s="10"/>
      <c r="AA397" s="10"/>
    </row>
    <row r="398" spans="1:27">
      <c r="R398" s="10"/>
      <c r="S398" s="10"/>
      <c r="T398" s="10"/>
      <c r="U398" s="10"/>
      <c r="V398" s="10"/>
      <c r="W398" s="10"/>
      <c r="X398" s="10"/>
      <c r="Y398" s="10"/>
      <c r="Z398" s="10"/>
      <c r="AA398" s="10"/>
    </row>
    <row r="399" spans="1:27">
      <c r="R399" s="10"/>
      <c r="S399" s="10"/>
      <c r="T399" s="10"/>
      <c r="U399" s="10"/>
      <c r="V399" s="10"/>
      <c r="W399" s="10"/>
      <c r="X399" s="10"/>
      <c r="Y399" s="10"/>
      <c r="Z399" s="10"/>
      <c r="AA399" s="10"/>
    </row>
    <row r="400" spans="1:27">
      <c r="R400" s="10"/>
      <c r="S400" s="10"/>
      <c r="T400" s="10"/>
      <c r="U400" s="10"/>
      <c r="V400" s="10"/>
      <c r="W400" s="10"/>
      <c r="X400" s="10"/>
      <c r="Y400" s="10"/>
      <c r="Z400" s="10"/>
      <c r="AA400" s="10"/>
    </row>
    <row r="401" spans="18:27">
      <c r="R401" s="10"/>
      <c r="S401" s="10"/>
      <c r="T401" s="10"/>
      <c r="U401" s="10"/>
      <c r="V401" s="10"/>
      <c r="W401" s="10"/>
      <c r="X401" s="10"/>
      <c r="Y401" s="10"/>
      <c r="Z401" s="10"/>
      <c r="AA401" s="10"/>
    </row>
    <row r="402" spans="18:27">
      <c r="R402" s="10"/>
      <c r="S402" s="10"/>
      <c r="T402" s="10"/>
      <c r="U402" s="10"/>
      <c r="V402" s="10"/>
      <c r="W402" s="10"/>
      <c r="X402" s="10"/>
      <c r="Y402" s="10"/>
      <c r="Z402" s="10"/>
      <c r="AA402" s="10"/>
    </row>
    <row r="403" spans="18:27">
      <c r="R403" s="10"/>
      <c r="S403" s="10"/>
      <c r="T403" s="10"/>
      <c r="U403" s="10"/>
      <c r="V403" s="10"/>
      <c r="W403" s="10"/>
      <c r="X403" s="10"/>
      <c r="Y403" s="10"/>
      <c r="Z403" s="10"/>
      <c r="AA403" s="10"/>
    </row>
    <row r="404" spans="18:27">
      <c r="R404" s="10"/>
      <c r="S404" s="10"/>
      <c r="T404" s="10"/>
      <c r="U404" s="10"/>
      <c r="V404" s="10"/>
      <c r="W404" s="10"/>
      <c r="X404" s="10"/>
      <c r="Y404" s="10"/>
      <c r="Z404" s="10"/>
      <c r="AA404" s="10"/>
    </row>
    <row r="405" spans="18:27">
      <c r="R405" s="10"/>
      <c r="S405" s="10"/>
      <c r="T405" s="10"/>
      <c r="U405" s="10"/>
      <c r="V405" s="10"/>
      <c r="W405" s="10"/>
      <c r="X405" s="10"/>
      <c r="Y405" s="10"/>
      <c r="Z405" s="10"/>
      <c r="AA405" s="10"/>
    </row>
    <row r="406" spans="18:27">
      <c r="R406" s="10"/>
      <c r="S406" s="10"/>
      <c r="T406" s="10"/>
      <c r="U406" s="10"/>
      <c r="V406" s="10"/>
      <c r="W406" s="10"/>
      <c r="X406" s="10"/>
      <c r="Y406" s="10"/>
      <c r="Z406" s="10"/>
      <c r="AA406" s="10"/>
    </row>
    <row r="407" spans="18:27">
      <c r="R407" s="10"/>
      <c r="S407" s="10"/>
      <c r="T407" s="10"/>
      <c r="U407" s="10"/>
      <c r="V407" s="10"/>
      <c r="W407" s="10"/>
      <c r="X407" s="10"/>
      <c r="Y407" s="10"/>
      <c r="Z407" s="10"/>
      <c r="AA407" s="10"/>
    </row>
    <row r="408" spans="18:27">
      <c r="R408" s="10"/>
      <c r="S408" s="10"/>
      <c r="T408" s="10"/>
      <c r="U408" s="10"/>
      <c r="V408" s="10"/>
      <c r="W408" s="10"/>
      <c r="X408" s="10"/>
      <c r="Y408" s="10"/>
      <c r="Z408" s="10"/>
      <c r="AA408" s="10"/>
    </row>
    <row r="409" spans="18:27">
      <c r="R409" s="10"/>
      <c r="S409" s="10"/>
      <c r="T409" s="10"/>
      <c r="U409" s="10"/>
      <c r="V409" s="10"/>
      <c r="W409" s="10"/>
      <c r="X409" s="10"/>
      <c r="Y409" s="10"/>
      <c r="Z409" s="10"/>
      <c r="AA409" s="10"/>
    </row>
    <row r="410" spans="18:27">
      <c r="R410" s="10"/>
      <c r="S410" s="10"/>
      <c r="T410" s="10"/>
      <c r="U410" s="10"/>
      <c r="V410" s="10"/>
      <c r="W410" s="10"/>
      <c r="X410" s="10"/>
      <c r="Y410" s="10"/>
      <c r="Z410" s="10"/>
      <c r="AA410" s="10"/>
    </row>
    <row r="411" spans="18:27">
      <c r="R411" s="10"/>
      <c r="S411" s="10"/>
      <c r="T411" s="10"/>
      <c r="U411" s="10"/>
      <c r="V411" s="10"/>
      <c r="W411" s="10"/>
      <c r="X411" s="10"/>
      <c r="Y411" s="10"/>
      <c r="Z411" s="10"/>
      <c r="AA411" s="10"/>
    </row>
    <row r="412" spans="18:27">
      <c r="R412" s="10"/>
      <c r="S412" s="10"/>
      <c r="T412" s="10"/>
      <c r="U412" s="10"/>
      <c r="V412" s="10"/>
      <c r="W412" s="10"/>
      <c r="X412" s="10"/>
      <c r="Y412" s="10"/>
      <c r="Z412" s="10"/>
      <c r="AA412" s="10"/>
    </row>
    <row r="413" spans="18:27">
      <c r="R413" s="10"/>
      <c r="S413" s="10"/>
      <c r="T413" s="10"/>
      <c r="U413" s="10"/>
      <c r="V413" s="10"/>
      <c r="W413" s="10"/>
      <c r="X413" s="10"/>
      <c r="Y413" s="10"/>
      <c r="Z413" s="10"/>
      <c r="AA413" s="10"/>
    </row>
    <row r="414" spans="18:27">
      <c r="R414" s="10"/>
      <c r="S414" s="10"/>
      <c r="T414" s="10"/>
      <c r="U414" s="10"/>
      <c r="V414" s="10"/>
      <c r="W414" s="10"/>
      <c r="X414" s="10"/>
      <c r="Y414" s="10"/>
      <c r="Z414" s="10"/>
      <c r="AA414" s="10"/>
    </row>
    <row r="415" spans="18:27">
      <c r="R415" s="10"/>
      <c r="S415" s="10"/>
      <c r="T415" s="10"/>
      <c r="U415" s="10"/>
      <c r="V415" s="10"/>
      <c r="W415" s="10"/>
      <c r="X415" s="10"/>
      <c r="Y415" s="10"/>
      <c r="Z415" s="10"/>
      <c r="AA415" s="10"/>
    </row>
    <row r="416" spans="18:27">
      <c r="R416" s="10"/>
      <c r="S416" s="10"/>
      <c r="T416" s="10"/>
      <c r="U416" s="10"/>
      <c r="V416" s="10"/>
      <c r="W416" s="10"/>
      <c r="X416" s="10"/>
      <c r="Y416" s="10"/>
      <c r="Z416" s="10"/>
      <c r="AA416" s="10"/>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061CD4A54630244B5B60E95FA0EC15B" ma:contentTypeVersion="8" ma:contentTypeDescription="Create a new document." ma:contentTypeScope="" ma:versionID="e0ded2ce4d924f5e736309bb8fbe22a3">
  <xsd:schema xmlns:xsd="http://www.w3.org/2001/XMLSchema" xmlns:xs="http://www.w3.org/2001/XMLSchema" xmlns:p="http://schemas.microsoft.com/office/2006/metadata/properties" xmlns:ns2="9c9d25a0-0c3a-41b6-9257-b1acbebedea3" targetNamespace="http://schemas.microsoft.com/office/2006/metadata/properties" ma:root="true" ma:fieldsID="202970b17cf158fc36b716073205f529" ns2:_="">
    <xsd:import namespace="9c9d25a0-0c3a-41b6-9257-b1acbebedea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9d25a0-0c3a-41b6-9257-b1acbebede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99B4CA6-EF1E-4748-94C5-A0815439B238}"/>
</file>

<file path=customXml/itemProps2.xml><?xml version="1.0" encoding="utf-8"?>
<ds:datastoreItem xmlns:ds="http://schemas.openxmlformats.org/officeDocument/2006/customXml" ds:itemID="{FAC62DBD-277A-4D7F-85B5-822A34FBD51A}"/>
</file>

<file path=customXml/itemProps3.xml><?xml version="1.0" encoding="utf-8"?>
<ds:datastoreItem xmlns:ds="http://schemas.openxmlformats.org/officeDocument/2006/customXml" ds:itemID="{F36D4074-4346-4393-BD39-F871EA1ABE2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Instructie</vt:lpstr>
      <vt:lpstr>Invoer locatiegegevens</vt:lpstr>
      <vt:lpstr>Invoer factoren</vt:lpstr>
      <vt:lpstr>Ambitie klimaatadaptatie</vt:lpstr>
      <vt:lpstr>Advies</vt:lpstr>
      <vt:lpstr>Reken</vt:lpstr>
      <vt:lpstr>Neerslag</vt:lpstr>
      <vt:lpstr>t_10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Elmo</dc:creator>
  <cp:keywords/>
  <dc:description/>
  <cp:lastModifiedBy>Elmo van den Beld</cp:lastModifiedBy>
  <cp:revision/>
  <dcterms:created xsi:type="dcterms:W3CDTF">2015-06-05T18:17:20Z</dcterms:created>
  <dcterms:modified xsi:type="dcterms:W3CDTF">2021-01-29T16:08:52Z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0x0101006061CD4A54630244B5B60E95FA0EC15B</vt:lpwstr>
  </property>
</Properties>
</file>