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W:\WFSR\BU1\Team_13_14_15\Analyses\BU-DBM\Waarnemingsformulieren\Uniforme waarnemingsformulieren\standaardadditie_met_IS_bevestiging en kwantificering\v6\"/>
    </mc:Choice>
  </mc:AlternateContent>
  <xr:revisionPtr revIDLastSave="0" documentId="13_ncr:1_{D02B2EF5-ED77-436D-A1E3-3C3C70FBB8F6}" xr6:coauthVersionLast="47" xr6:coauthVersionMax="47" xr10:uidLastSave="{00000000-0000-0000-0000-000000000000}"/>
  <bookViews>
    <workbookView xWindow="4290" yWindow="4290" windowWidth="38700" windowHeight="15435" firstSheet="1" activeTab="1" xr2:uid="{00000000-000D-0000-FFFF-FFFF00000000}"/>
  </bookViews>
  <sheets>
    <sheet name="655584 varkensnier" sheetId="1" state="hidden" r:id="rId1"/>
    <sheet name="example" sheetId="14" r:id="rId2"/>
    <sheet name="MRL revised" sheetId="12" r:id="rId3"/>
    <sheet name="prohibited revised" sheetId="13" r:id="rId4"/>
    <sheet name="659592 varkensvlees" sheetId="8" state="hidden" r:id="rId5"/>
    <sheet name="hulpblad_acc" sheetId="10" state="hidden" r:id="rId6"/>
    <sheet name="658830 kalfsnier" sheetId="6" state="hidden" r:id="rId7"/>
    <sheet name="658834 kalfsvlees" sheetId="4" state="hidden" r:id="rId8"/>
    <sheet name="Ruwe data" sheetId="2" state="hidden" r:id="rId9"/>
    <sheet name="MSO controles" sheetId="9" state="hidden" r:id="rId10"/>
  </sheets>
  <definedNames>
    <definedName name="_xlnm._FilterDatabase" localSheetId="8" hidden="1">'Ruwe data'!$A$1:$M$345</definedName>
    <definedName name="_xlnm.Print_Area" localSheetId="0">'655584 varkensnier'!$A$1:$S$53</definedName>
    <definedName name="_xlnm.Print_Area" localSheetId="6">'658830 kalfsnier'!$A$1:$S$53</definedName>
    <definedName name="_xlnm.Print_Area" localSheetId="7">'658834 kalfsvlees'!$A$1:$S$53</definedName>
    <definedName name="_xlnm.Print_Area" localSheetId="4">'659592 varkensvlees'!$A$1:$S$53</definedName>
    <definedName name="_xlnm.Print_Area" localSheetId="1">example!$A$1:$S$53</definedName>
    <definedName name="_xlnm.Print_Area" localSheetId="2">'MRL revised'!$A$1:$S$53</definedName>
    <definedName name="_xlnm.Print_Area" localSheetId="3">'prohibited revised'!$A$1:$S$53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2" l="1"/>
  <c r="D42" i="13"/>
  <c r="D42" i="14"/>
  <c r="D41" i="12"/>
  <c r="D41" i="13"/>
  <c r="D41" i="14"/>
  <c r="D37" i="12"/>
  <c r="D37" i="13"/>
  <c r="D37" i="14"/>
  <c r="D36" i="12"/>
  <c r="D36" i="13"/>
  <c r="D36" i="14"/>
  <c r="I31" i="13"/>
  <c r="S24" i="13"/>
  <c r="S24" i="12"/>
  <c r="S23" i="13"/>
  <c r="S23" i="12"/>
  <c r="S22" i="13"/>
  <c r="S22" i="12"/>
  <c r="J22" i="13"/>
  <c r="J22" i="12"/>
  <c r="I31" i="12"/>
  <c r="B65" i="14" l="1"/>
  <c r="B64" i="14"/>
  <c r="B63" i="14"/>
  <c r="B62" i="14"/>
  <c r="B61" i="14"/>
  <c r="B60" i="14"/>
  <c r="B59" i="14"/>
  <c r="B58" i="14"/>
  <c r="B57" i="14"/>
  <c r="C48" i="14"/>
  <c r="Y30" i="14"/>
  <c r="X30" i="14"/>
  <c r="W30" i="14"/>
  <c r="M30" i="14"/>
  <c r="N30" i="14" s="1"/>
  <c r="U30" i="14" s="1"/>
  <c r="L30" i="14"/>
  <c r="C65" i="14" s="1"/>
  <c r="K30" i="14"/>
  <c r="V30" i="14" s="1"/>
  <c r="J30" i="14"/>
  <c r="O29" i="14"/>
  <c r="P29" i="14" s="1"/>
  <c r="L29" i="14"/>
  <c r="C64" i="14" s="1"/>
  <c r="K29" i="14"/>
  <c r="V29" i="14" s="1"/>
  <c r="J29" i="14"/>
  <c r="I29" i="14"/>
  <c r="Y29" i="14" s="1"/>
  <c r="Y28" i="14"/>
  <c r="X28" i="14"/>
  <c r="M28" i="14"/>
  <c r="N28" i="14" s="1"/>
  <c r="U28" i="14" s="1"/>
  <c r="L28" i="14"/>
  <c r="O28" i="14" s="1"/>
  <c r="P28" i="14" s="1"/>
  <c r="J28" i="14"/>
  <c r="K28" i="14" s="1"/>
  <c r="V28" i="14" s="1"/>
  <c r="I28" i="14"/>
  <c r="W28" i="14" s="1"/>
  <c r="J27" i="14"/>
  <c r="I27" i="14"/>
  <c r="M27" i="14" s="1"/>
  <c r="J26" i="14"/>
  <c r="I26" i="14"/>
  <c r="L25" i="14"/>
  <c r="J25" i="14"/>
  <c r="I25" i="14"/>
  <c r="M25" i="14" s="1"/>
  <c r="J24" i="14"/>
  <c r="I24" i="14"/>
  <c r="M24" i="14" s="1"/>
  <c r="L23" i="14"/>
  <c r="C58" i="14" s="1"/>
  <c r="K23" i="14"/>
  <c r="V23" i="14" s="1"/>
  <c r="J23" i="14"/>
  <c r="I23" i="14"/>
  <c r="M22" i="14"/>
  <c r="L22" i="14"/>
  <c r="C57" i="14" s="1"/>
  <c r="J22" i="14"/>
  <c r="I22" i="14"/>
  <c r="I21" i="14"/>
  <c r="B21" i="14"/>
  <c r="K26" i="14" l="1"/>
  <c r="V26" i="14" s="1"/>
  <c r="K24" i="14"/>
  <c r="V24" i="14" s="1"/>
  <c r="Y22" i="14"/>
  <c r="Y23" i="14"/>
  <c r="K27" i="14"/>
  <c r="V27" i="14" s="1"/>
  <c r="K25" i="14"/>
  <c r="V25" i="14" s="1"/>
  <c r="K22" i="14"/>
  <c r="V22" i="14" s="1"/>
  <c r="M23" i="14"/>
  <c r="Y26" i="14"/>
  <c r="Y25" i="14"/>
  <c r="C63" i="14"/>
  <c r="L24" i="14"/>
  <c r="L27" i="14"/>
  <c r="I31" i="14"/>
  <c r="Y27" i="14"/>
  <c r="W29" i="14"/>
  <c r="O30" i="14"/>
  <c r="P30" i="14" s="1"/>
  <c r="C60" i="14"/>
  <c r="Y24" i="14"/>
  <c r="X29" i="14"/>
  <c r="L26" i="14"/>
  <c r="M29" i="14"/>
  <c r="N29" i="14" s="1"/>
  <c r="U29" i="14" s="1"/>
  <c r="M26" i="14"/>
  <c r="N26" i="14" s="1"/>
  <c r="U26" i="14" s="1"/>
  <c r="N23" i="14" l="1"/>
  <c r="U23" i="14" s="1"/>
  <c r="Y31" i="14"/>
  <c r="G42" i="14"/>
  <c r="N25" i="14"/>
  <c r="U25" i="14" s="1"/>
  <c r="C59" i="14"/>
  <c r="S22" i="14"/>
  <c r="N27" i="14"/>
  <c r="U27" i="14" s="1"/>
  <c r="C62" i="14"/>
  <c r="Z22" i="14"/>
  <c r="C61" i="14"/>
  <c r="N22" i="14"/>
  <c r="U22" i="14" s="1"/>
  <c r="N24" i="14"/>
  <c r="U24" i="14" s="1"/>
  <c r="S24" i="14" l="1"/>
  <c r="D35" i="14" s="1"/>
  <c r="G35" i="14" s="1"/>
  <c r="G37" i="14"/>
  <c r="S23" i="14"/>
  <c r="W24" i="14" s="1"/>
  <c r="X24" i="14" s="1"/>
  <c r="F41" i="14"/>
  <c r="G41" i="14" s="1"/>
  <c r="F36" i="14"/>
  <c r="G36" i="14"/>
  <c r="W23" i="14" l="1"/>
  <c r="X23" i="14" s="1"/>
  <c r="D48" i="14"/>
  <c r="O25" i="14"/>
  <c r="P25" i="14" s="1"/>
  <c r="O24" i="14"/>
  <c r="P24" i="14" s="1"/>
  <c r="O26" i="14"/>
  <c r="P26" i="14" s="1"/>
  <c r="O27" i="14"/>
  <c r="P27" i="14" s="1"/>
  <c r="W27" i="14"/>
  <c r="X27" i="14" s="1"/>
  <c r="W22" i="14"/>
  <c r="W26" i="14"/>
  <c r="X26" i="14" s="1"/>
  <c r="W25" i="14"/>
  <c r="X25" i="14" s="1"/>
  <c r="W31" i="14" l="1"/>
  <c r="X22" i="14"/>
  <c r="X31" i="14" s="1"/>
  <c r="AA22" i="14" s="1"/>
  <c r="AB22" i="14" s="1"/>
  <c r="D43" i="14" s="1"/>
  <c r="D44" i="14" s="1"/>
  <c r="V35" i="14"/>
  <c r="F44" i="14" s="1"/>
  <c r="G44" i="14" l="1"/>
  <c r="H44" i="14" s="1"/>
  <c r="J44" i="14" l="1"/>
  <c r="G48" i="14" s="1"/>
  <c r="I29" i="12"/>
  <c r="I28" i="12"/>
  <c r="I27" i="12"/>
  <c r="I26" i="12"/>
  <c r="I25" i="12"/>
  <c r="I24" i="12"/>
  <c r="I23" i="12"/>
  <c r="I22" i="12"/>
  <c r="Y23" i="12" l="1"/>
  <c r="Y27" i="12"/>
  <c r="Y24" i="12"/>
  <c r="Y25" i="12"/>
  <c r="Y26" i="12"/>
  <c r="C65" i="13" l="1"/>
  <c r="B65" i="13"/>
  <c r="B64" i="13"/>
  <c r="B63" i="13"/>
  <c r="B62" i="13"/>
  <c r="B61" i="13"/>
  <c r="B60" i="13"/>
  <c r="B59" i="13"/>
  <c r="B58" i="13"/>
  <c r="B57" i="13"/>
  <c r="B58" i="12"/>
  <c r="B59" i="12"/>
  <c r="B60" i="12"/>
  <c r="B61" i="12"/>
  <c r="B62" i="12"/>
  <c r="B63" i="12"/>
  <c r="B64" i="12"/>
  <c r="B65" i="12"/>
  <c r="B57" i="12"/>
  <c r="B21" i="12"/>
  <c r="L25" i="12" l="1"/>
  <c r="C60" i="12" s="1"/>
  <c r="W30" i="12"/>
  <c r="X30" i="12"/>
  <c r="I24" i="13"/>
  <c r="I25" i="13"/>
  <c r="M25" i="13" s="1"/>
  <c r="I29" i="13"/>
  <c r="L29" i="13" s="1"/>
  <c r="C64" i="13" s="1"/>
  <c r="J24" i="13"/>
  <c r="L24" i="13"/>
  <c r="C59" i="13" s="1"/>
  <c r="J25" i="13"/>
  <c r="J29" i="13"/>
  <c r="I30" i="13"/>
  <c r="Y30" i="12"/>
  <c r="I27" i="13"/>
  <c r="I26" i="13"/>
  <c r="L26" i="13" s="1"/>
  <c r="C61" i="13" s="1"/>
  <c r="I23" i="13"/>
  <c r="L23" i="13" s="1"/>
  <c r="C58" i="13" s="1"/>
  <c r="I22" i="13"/>
  <c r="M22" i="13" s="1"/>
  <c r="M24" i="12"/>
  <c r="C48" i="13"/>
  <c r="W35" i="13"/>
  <c r="W34" i="13" s="1"/>
  <c r="Y30" i="13"/>
  <c r="X30" i="13"/>
  <c r="W30" i="13"/>
  <c r="M30" i="13"/>
  <c r="N30" i="13" s="1"/>
  <c r="U30" i="13" s="1"/>
  <c r="L30" i="13"/>
  <c r="O30" i="13" s="1"/>
  <c r="P30" i="13" s="1"/>
  <c r="K30" i="13"/>
  <c r="V30" i="13" s="1"/>
  <c r="J30" i="13"/>
  <c r="J28" i="13"/>
  <c r="I28" i="13"/>
  <c r="L28" i="13" s="1"/>
  <c r="C63" i="13" s="1"/>
  <c r="L27" i="13"/>
  <c r="C62" i="13" s="1"/>
  <c r="J27" i="13"/>
  <c r="J26" i="13"/>
  <c r="J23" i="13"/>
  <c r="I21" i="13"/>
  <c r="B21" i="13"/>
  <c r="C48" i="12"/>
  <c r="L30" i="12"/>
  <c r="J30" i="12"/>
  <c r="K30" i="12" s="1"/>
  <c r="V30" i="12" s="1"/>
  <c r="L29" i="12"/>
  <c r="C64" i="12" s="1"/>
  <c r="J29" i="12"/>
  <c r="J28" i="12"/>
  <c r="L27" i="12"/>
  <c r="J27" i="12"/>
  <c r="L26" i="12"/>
  <c r="C61" i="12" s="1"/>
  <c r="J26" i="12"/>
  <c r="J25" i="12"/>
  <c r="J24" i="12"/>
  <c r="J23" i="12"/>
  <c r="M22" i="12"/>
  <c r="L22" i="12"/>
  <c r="I21" i="12"/>
  <c r="L22" i="13" l="1"/>
  <c r="C57" i="13" s="1"/>
  <c r="L25" i="13"/>
  <c r="C60" i="13" s="1"/>
  <c r="K24" i="13"/>
  <c r="V24" i="13" s="1"/>
  <c r="Y25" i="13"/>
  <c r="C62" i="12"/>
  <c r="O30" i="12"/>
  <c r="P30" i="12" s="1"/>
  <c r="C65" i="12"/>
  <c r="C57" i="12"/>
  <c r="Y29" i="12"/>
  <c r="M25" i="12"/>
  <c r="Y22" i="12"/>
  <c r="L23" i="12"/>
  <c r="M23" i="12"/>
  <c r="K26" i="12"/>
  <c r="V26" i="12" s="1"/>
  <c r="M30" i="12"/>
  <c r="N30" i="12" s="1"/>
  <c r="U30" i="12" s="1"/>
  <c r="Y28" i="12"/>
  <c r="L24" i="12"/>
  <c r="L28" i="12"/>
  <c r="C63" i="12" s="1"/>
  <c r="K28" i="12"/>
  <c r="V28" i="12" s="1"/>
  <c r="K27" i="12"/>
  <c r="V27" i="12" s="1"/>
  <c r="K22" i="12"/>
  <c r="K25" i="12"/>
  <c r="V25" i="12" s="1"/>
  <c r="M24" i="13"/>
  <c r="Y28" i="13"/>
  <c r="Y29" i="13"/>
  <c r="K25" i="13"/>
  <c r="V25" i="13" s="1"/>
  <c r="K29" i="13"/>
  <c r="V29" i="13" s="1"/>
  <c r="K28" i="13"/>
  <c r="V28" i="13" s="1"/>
  <c r="K22" i="13"/>
  <c r="K23" i="12"/>
  <c r="V23" i="12" s="1"/>
  <c r="K23" i="13"/>
  <c r="V23" i="13" s="1"/>
  <c r="K26" i="13"/>
  <c r="V26" i="13" s="1"/>
  <c r="K27" i="13"/>
  <c r="V27" i="13" s="1"/>
  <c r="K24" i="12"/>
  <c r="V24" i="12" s="1"/>
  <c r="K29" i="12"/>
  <c r="V29" i="12" s="1"/>
  <c r="Y26" i="13"/>
  <c r="M29" i="13"/>
  <c r="Y24" i="13"/>
  <c r="M28" i="13"/>
  <c r="M28" i="12"/>
  <c r="Y22" i="13"/>
  <c r="Y23" i="13"/>
  <c r="M23" i="13"/>
  <c r="AC22" i="13"/>
  <c r="M27" i="13"/>
  <c r="Y27" i="13"/>
  <c r="M26" i="13"/>
  <c r="M27" i="12"/>
  <c r="M29" i="12"/>
  <c r="M26" i="12"/>
  <c r="G37" i="13" l="1"/>
  <c r="Z22" i="13"/>
  <c r="Z24" i="13" s="1"/>
  <c r="V22" i="13"/>
  <c r="G42" i="13"/>
  <c r="Y31" i="13"/>
  <c r="V22" i="12"/>
  <c r="G42" i="12" s="1"/>
  <c r="C58" i="12"/>
  <c r="C59" i="12"/>
  <c r="Z22" i="12"/>
  <c r="Y31" i="12"/>
  <c r="N26" i="12"/>
  <c r="U26" i="12" s="1"/>
  <c r="N27" i="13"/>
  <c r="U27" i="13" s="1"/>
  <c r="N24" i="13"/>
  <c r="U24" i="13" s="1"/>
  <c r="N27" i="12"/>
  <c r="U27" i="12" s="1"/>
  <c r="N25" i="12"/>
  <c r="U25" i="12" s="1"/>
  <c r="N23" i="13"/>
  <c r="U23" i="13" s="1"/>
  <c r="N28" i="13"/>
  <c r="U28" i="13" s="1"/>
  <c r="N22" i="13"/>
  <c r="U22" i="13" s="1"/>
  <c r="N26" i="13"/>
  <c r="U26" i="13" s="1"/>
  <c r="N22" i="12"/>
  <c r="N29" i="12"/>
  <c r="U29" i="12" s="1"/>
  <c r="N28" i="12"/>
  <c r="U28" i="12" s="1"/>
  <c r="N29" i="13"/>
  <c r="U29" i="13" s="1"/>
  <c r="N23" i="12"/>
  <c r="U23" i="12" s="1"/>
  <c r="N25" i="13"/>
  <c r="U25" i="13" s="1"/>
  <c r="N24" i="12"/>
  <c r="U24" i="12" s="1"/>
  <c r="D44" i="1"/>
  <c r="B1" i="10"/>
  <c r="M4" i="9"/>
  <c r="M3" i="9"/>
  <c r="L4" i="9"/>
  <c r="L3" i="9"/>
  <c r="L2" i="9"/>
  <c r="I31" i="9"/>
  <c r="I29" i="9"/>
  <c r="I27" i="9"/>
  <c r="I25" i="9"/>
  <c r="I23" i="9"/>
  <c r="I21" i="9"/>
  <c r="I19" i="9"/>
  <c r="I17" i="9"/>
  <c r="I15" i="9"/>
  <c r="I13" i="9"/>
  <c r="I11" i="9"/>
  <c r="I9" i="9"/>
  <c r="I7" i="9"/>
  <c r="I5" i="9"/>
  <c r="I3" i="9"/>
  <c r="I1" i="9"/>
  <c r="E56" i="8"/>
  <c r="C48" i="8"/>
  <c r="G46" i="8"/>
  <c r="Y30" i="8"/>
  <c r="X30" i="8"/>
  <c r="W30" i="8"/>
  <c r="M30" i="8"/>
  <c r="N30" i="8" s="1"/>
  <c r="U30" i="8" s="1"/>
  <c r="L30" i="8"/>
  <c r="O30" i="8" s="1"/>
  <c r="P30" i="8" s="1"/>
  <c r="K30" i="8"/>
  <c r="V30" i="8" s="1"/>
  <c r="J30" i="8"/>
  <c r="L29" i="8"/>
  <c r="J29" i="8"/>
  <c r="J28" i="8"/>
  <c r="I28" i="8"/>
  <c r="J27" i="8"/>
  <c r="K27" i="8" s="1"/>
  <c r="V27" i="8" s="1"/>
  <c r="I27" i="8"/>
  <c r="Y27" i="8" s="1"/>
  <c r="L26" i="8"/>
  <c r="J26" i="8"/>
  <c r="I26" i="8"/>
  <c r="Y26" i="8" s="1"/>
  <c r="Y25" i="8"/>
  <c r="M25" i="8"/>
  <c r="L25" i="8"/>
  <c r="J25" i="8"/>
  <c r="Y24" i="8"/>
  <c r="M24" i="8"/>
  <c r="L24" i="8"/>
  <c r="J24" i="8"/>
  <c r="L23" i="8"/>
  <c r="J23" i="8"/>
  <c r="I23" i="8"/>
  <c r="J22" i="8"/>
  <c r="I22" i="8"/>
  <c r="AC22" i="8" s="1"/>
  <c r="I21" i="8"/>
  <c r="B21" i="8"/>
  <c r="W24" i="13" l="1"/>
  <c r="X24" i="13" s="1"/>
  <c r="F41" i="13"/>
  <c r="F36" i="13"/>
  <c r="D35" i="13"/>
  <c r="G35" i="13" s="1"/>
  <c r="W25" i="12"/>
  <c r="X25" i="12" s="1"/>
  <c r="U22" i="12"/>
  <c r="D35" i="12"/>
  <c r="G35" i="12" s="1"/>
  <c r="F41" i="12"/>
  <c r="G37" i="12"/>
  <c r="F36" i="12"/>
  <c r="W29" i="12"/>
  <c r="X29" i="12" s="1"/>
  <c r="W28" i="12"/>
  <c r="X28" i="12" s="1"/>
  <c r="G36" i="13"/>
  <c r="W29" i="13"/>
  <c r="X29" i="13" s="1"/>
  <c r="W26" i="13"/>
  <c r="X26" i="13" s="1"/>
  <c r="G41" i="13"/>
  <c r="D48" i="13" s="1"/>
  <c r="W23" i="13"/>
  <c r="X23" i="13" s="1"/>
  <c r="W27" i="13"/>
  <c r="X27" i="13" s="1"/>
  <c r="O29" i="12"/>
  <c r="P29" i="12" s="1"/>
  <c r="O24" i="12"/>
  <c r="P24" i="12" s="1"/>
  <c r="O26" i="12"/>
  <c r="P26" i="12" s="1"/>
  <c r="O25" i="12"/>
  <c r="P25" i="12" s="1"/>
  <c r="O28" i="12"/>
  <c r="P28" i="12" s="1"/>
  <c r="W28" i="13"/>
  <c r="X28" i="13" s="1"/>
  <c r="W25" i="13"/>
  <c r="X25" i="13" s="1"/>
  <c r="W22" i="13"/>
  <c r="X22" i="13" s="1"/>
  <c r="O28" i="13"/>
  <c r="P28" i="13" s="1"/>
  <c r="O29" i="13"/>
  <c r="P29" i="13" s="1"/>
  <c r="O25" i="13"/>
  <c r="P25" i="13" s="1"/>
  <c r="O26" i="13"/>
  <c r="P26" i="13" s="1"/>
  <c r="O24" i="13"/>
  <c r="P24" i="13" s="1"/>
  <c r="O27" i="13"/>
  <c r="P27" i="13" s="1"/>
  <c r="N24" i="8"/>
  <c r="U24" i="8" s="1"/>
  <c r="K26" i="8"/>
  <c r="V26" i="8" s="1"/>
  <c r="K28" i="8"/>
  <c r="V28" i="8" s="1"/>
  <c r="K22" i="8"/>
  <c r="V22" i="8" s="1"/>
  <c r="K29" i="8"/>
  <c r="V29" i="8" s="1"/>
  <c r="M22" i="8"/>
  <c r="Y23" i="8"/>
  <c r="M28" i="8"/>
  <c r="Y28" i="8"/>
  <c r="M29" i="8"/>
  <c r="N25" i="8" s="1"/>
  <c r="U25" i="8" s="1"/>
  <c r="K24" i="8"/>
  <c r="V24" i="8" s="1"/>
  <c r="M26" i="8"/>
  <c r="L27" i="8"/>
  <c r="M23" i="8"/>
  <c r="Y29" i="8"/>
  <c r="L22" i="8"/>
  <c r="Y22" i="8"/>
  <c r="K23" i="8"/>
  <c r="V23" i="8" s="1"/>
  <c r="D42" i="8" s="1"/>
  <c r="G42" i="8" s="1"/>
  <c r="K25" i="8"/>
  <c r="V25" i="8" s="1"/>
  <c r="M27" i="8"/>
  <c r="L28" i="8"/>
  <c r="E56" i="6"/>
  <c r="C48" i="6"/>
  <c r="G46" i="6"/>
  <c r="Y30" i="6"/>
  <c r="X30" i="6"/>
  <c r="W30" i="6"/>
  <c r="M30" i="6"/>
  <c r="N30" i="6" s="1"/>
  <c r="U30" i="6" s="1"/>
  <c r="L30" i="6"/>
  <c r="O30" i="6" s="1"/>
  <c r="P30" i="6" s="1"/>
  <c r="J30" i="6"/>
  <c r="K30" i="6" s="1"/>
  <c r="V30" i="6" s="1"/>
  <c r="L29" i="6"/>
  <c r="J29" i="6"/>
  <c r="K29" i="6" s="1"/>
  <c r="V29" i="6" s="1"/>
  <c r="J28" i="6"/>
  <c r="J27" i="6"/>
  <c r="J26" i="6"/>
  <c r="I26" i="6"/>
  <c r="Y26" i="6" s="1"/>
  <c r="Y25" i="6"/>
  <c r="M25" i="6"/>
  <c r="L25" i="6"/>
  <c r="J25" i="6"/>
  <c r="Y24" i="6"/>
  <c r="M24" i="6"/>
  <c r="L24" i="6"/>
  <c r="J24" i="6"/>
  <c r="L23" i="6"/>
  <c r="J23" i="6"/>
  <c r="I23" i="6"/>
  <c r="J22" i="6"/>
  <c r="I22" i="6"/>
  <c r="I21" i="6"/>
  <c r="B21" i="6"/>
  <c r="E56" i="4"/>
  <c r="C48" i="4"/>
  <c r="G46" i="4"/>
  <c r="Y30" i="4"/>
  <c r="X30" i="4"/>
  <c r="W30" i="4"/>
  <c r="M30" i="4"/>
  <c r="N30" i="4" s="1"/>
  <c r="U30" i="4" s="1"/>
  <c r="L30" i="4"/>
  <c r="O30" i="4" s="1"/>
  <c r="P30" i="4" s="1"/>
  <c r="K30" i="4"/>
  <c r="V30" i="4" s="1"/>
  <c r="J30" i="4"/>
  <c r="L29" i="4"/>
  <c r="J29" i="4"/>
  <c r="Y29" i="4"/>
  <c r="J28" i="4"/>
  <c r="J27" i="4"/>
  <c r="Y27" i="4"/>
  <c r="J26" i="4"/>
  <c r="Y25" i="4"/>
  <c r="M25" i="4"/>
  <c r="L25" i="4"/>
  <c r="J25" i="4"/>
  <c r="Y24" i="4"/>
  <c r="M24" i="4"/>
  <c r="L24" i="4"/>
  <c r="J24" i="4"/>
  <c r="K29" i="4" s="1"/>
  <c r="V29" i="4" s="1"/>
  <c r="L23" i="4"/>
  <c r="J23" i="4"/>
  <c r="I23" i="4"/>
  <c r="M22" i="4"/>
  <c r="J22" i="4"/>
  <c r="I22" i="4"/>
  <c r="I21" i="4"/>
  <c r="B21" i="4"/>
  <c r="I28" i="1"/>
  <c r="I27" i="1"/>
  <c r="X31" i="13" l="1"/>
  <c r="V35" i="13"/>
  <c r="F44" i="13" s="1"/>
  <c r="W22" i="12"/>
  <c r="W27" i="12"/>
  <c r="X27" i="12" s="1"/>
  <c r="W23" i="12"/>
  <c r="X23" i="12" s="1"/>
  <c r="G36" i="12"/>
  <c r="W26" i="12"/>
  <c r="X26" i="12" s="1"/>
  <c r="O27" i="12"/>
  <c r="P27" i="12" s="1"/>
  <c r="W24" i="12"/>
  <c r="X24" i="12" s="1"/>
  <c r="G41" i="12"/>
  <c r="D48" i="12" s="1"/>
  <c r="V35" i="12" s="1"/>
  <c r="F44" i="12" s="1"/>
  <c r="AA22" i="13"/>
  <c r="AB22" i="13" s="1"/>
  <c r="AD22" i="13" s="1"/>
  <c r="W31" i="13"/>
  <c r="N27" i="8"/>
  <c r="U27" i="8" s="1"/>
  <c r="S22" i="8"/>
  <c r="Z22" i="8"/>
  <c r="N29" i="8"/>
  <c r="U29" i="8" s="1"/>
  <c r="N23" i="8"/>
  <c r="U23" i="8" s="1"/>
  <c r="N22" i="8"/>
  <c r="U22" i="8" s="1"/>
  <c r="Y32" i="8"/>
  <c r="N26" i="8"/>
  <c r="U26" i="8" s="1"/>
  <c r="N28" i="8"/>
  <c r="U28" i="8" s="1"/>
  <c r="K22" i="6"/>
  <c r="V22" i="6" s="1"/>
  <c r="D42" i="6" s="1"/>
  <c r="G42" i="6" s="1"/>
  <c r="K25" i="6"/>
  <c r="V25" i="6" s="1"/>
  <c r="K23" i="6"/>
  <c r="V23" i="6" s="1"/>
  <c r="K25" i="4"/>
  <c r="V25" i="4" s="1"/>
  <c r="K26" i="4"/>
  <c r="V26" i="4" s="1"/>
  <c r="Y27" i="6"/>
  <c r="L26" i="6"/>
  <c r="K26" i="6"/>
  <c r="V26" i="6" s="1"/>
  <c r="K28" i="6"/>
  <c r="V28" i="6" s="1"/>
  <c r="AC22" i="6"/>
  <c r="Y26" i="4"/>
  <c r="K22" i="4"/>
  <c r="V22" i="4" s="1"/>
  <c r="AC22" i="4"/>
  <c r="K28" i="4"/>
  <c r="V28" i="4" s="1"/>
  <c r="M23" i="6"/>
  <c r="K27" i="6"/>
  <c r="V27" i="6" s="1"/>
  <c r="M29" i="6"/>
  <c r="N25" i="6" s="1"/>
  <c r="U25" i="6" s="1"/>
  <c r="Y29" i="6"/>
  <c r="K24" i="6"/>
  <c r="V24" i="6" s="1"/>
  <c r="M26" i="6"/>
  <c r="L27" i="6"/>
  <c r="M22" i="6"/>
  <c r="Y23" i="6"/>
  <c r="M28" i="6"/>
  <c r="Y28" i="6"/>
  <c r="L22" i="6"/>
  <c r="Y22" i="6"/>
  <c r="M27" i="6"/>
  <c r="L28" i="6"/>
  <c r="M23" i="4"/>
  <c r="L26" i="4"/>
  <c r="K27" i="4"/>
  <c r="V27" i="4" s="1"/>
  <c r="M29" i="4"/>
  <c r="Y23" i="4"/>
  <c r="M28" i="4"/>
  <c r="Y28" i="4"/>
  <c r="K24" i="4"/>
  <c r="V24" i="4" s="1"/>
  <c r="M26" i="4"/>
  <c r="N24" i="4" s="1"/>
  <c r="U24" i="4" s="1"/>
  <c r="L27" i="4"/>
  <c r="L22" i="4"/>
  <c r="Y22" i="4"/>
  <c r="K23" i="4"/>
  <c r="V23" i="4" s="1"/>
  <c r="M27" i="4"/>
  <c r="N25" i="4" s="1"/>
  <c r="U25" i="4" s="1"/>
  <c r="L28" i="4"/>
  <c r="E56" i="1"/>
  <c r="X22" i="12" l="1"/>
  <c r="X31" i="12" s="1"/>
  <c r="AA22" i="12" s="1"/>
  <c r="AB22" i="12" s="1"/>
  <c r="D43" i="12" s="1"/>
  <c r="D44" i="12" s="1"/>
  <c r="W31" i="12"/>
  <c r="D43" i="13"/>
  <c r="D44" i="13" s="1"/>
  <c r="G44" i="13" s="1"/>
  <c r="D41" i="8"/>
  <c r="F41" i="8"/>
  <c r="S23" i="8"/>
  <c r="O25" i="8" s="1"/>
  <c r="P25" i="8" s="1"/>
  <c r="D36" i="8"/>
  <c r="F36" i="8"/>
  <c r="D37" i="8"/>
  <c r="G37" i="8" s="1"/>
  <c r="S24" i="8"/>
  <c r="D35" i="8" s="1"/>
  <c r="G35" i="8" s="1"/>
  <c r="N24" i="6"/>
  <c r="U24" i="6" s="1"/>
  <c r="D42" i="4"/>
  <c r="G42" i="4" s="1"/>
  <c r="N27" i="6"/>
  <c r="U27" i="6" s="1"/>
  <c r="N27" i="4"/>
  <c r="U27" i="4" s="1"/>
  <c r="N22" i="4"/>
  <c r="U22" i="4" s="1"/>
  <c r="Y32" i="6"/>
  <c r="N28" i="6"/>
  <c r="U28" i="6" s="1"/>
  <c r="Z22" i="6"/>
  <c r="S22" i="6"/>
  <c r="N22" i="6"/>
  <c r="U22" i="6" s="1"/>
  <c r="N26" i="6"/>
  <c r="U26" i="6" s="1"/>
  <c r="N29" i="6"/>
  <c r="U29" i="6" s="1"/>
  <c r="N23" i="6"/>
  <c r="U23" i="6" s="1"/>
  <c r="Y32" i="4"/>
  <c r="N29" i="4"/>
  <c r="U29" i="4" s="1"/>
  <c r="S22" i="4"/>
  <c r="Z22" i="4"/>
  <c r="N26" i="4"/>
  <c r="U26" i="4" s="1"/>
  <c r="N23" i="4"/>
  <c r="U23" i="4" s="1"/>
  <c r="N28" i="4"/>
  <c r="U28" i="4" s="1"/>
  <c r="I25" i="1"/>
  <c r="G44" i="12" l="1"/>
  <c r="J44" i="13"/>
  <c r="G48" i="13" s="1"/>
  <c r="H44" i="13"/>
  <c r="G41" i="8"/>
  <c r="D48" i="8" s="1"/>
  <c r="W26" i="8"/>
  <c r="X26" i="8" s="1"/>
  <c r="G36" i="8"/>
  <c r="L34" i="8" s="1"/>
  <c r="W25" i="8"/>
  <c r="X25" i="8" s="1"/>
  <c r="W29" i="8"/>
  <c r="X29" i="8" s="1"/>
  <c r="O24" i="8"/>
  <c r="P24" i="8" s="1"/>
  <c r="W24" i="8"/>
  <c r="X24" i="8" s="1"/>
  <c r="W28" i="8"/>
  <c r="X28" i="8" s="1"/>
  <c r="W27" i="8"/>
  <c r="X27" i="8" s="1"/>
  <c r="W23" i="8"/>
  <c r="X23" i="8" s="1"/>
  <c r="O26" i="8"/>
  <c r="P26" i="8" s="1"/>
  <c r="O29" i="8"/>
  <c r="P29" i="8" s="1"/>
  <c r="O27" i="8"/>
  <c r="P27" i="8" s="1"/>
  <c r="O28" i="8"/>
  <c r="P28" i="8" s="1"/>
  <c r="W22" i="8"/>
  <c r="X22" i="8" s="1"/>
  <c r="D41" i="6"/>
  <c r="D41" i="4"/>
  <c r="F41" i="6"/>
  <c r="S23" i="6"/>
  <c r="O25" i="6" s="1"/>
  <c r="P25" i="6" s="1"/>
  <c r="F36" i="6"/>
  <c r="D37" i="6"/>
  <c r="G37" i="6" s="1"/>
  <c r="S24" i="6"/>
  <c r="D35" i="6" s="1"/>
  <c r="G35" i="6" s="1"/>
  <c r="D36" i="6"/>
  <c r="W29" i="6"/>
  <c r="X29" i="6" s="1"/>
  <c r="F41" i="4"/>
  <c r="G41" i="4" s="1"/>
  <c r="W29" i="4"/>
  <c r="X29" i="4" s="1"/>
  <c r="S23" i="4"/>
  <c r="O25" i="4" s="1"/>
  <c r="P25" i="4" s="1"/>
  <c r="S24" i="4"/>
  <c r="D35" i="4" s="1"/>
  <c r="G35" i="4" s="1"/>
  <c r="F36" i="4"/>
  <c r="D36" i="4"/>
  <c r="D37" i="4"/>
  <c r="G37" i="4" s="1"/>
  <c r="C48" i="1"/>
  <c r="H44" i="12" l="1"/>
  <c r="J44" i="12"/>
  <c r="G48" i="12" s="1"/>
  <c r="G41" i="6"/>
  <c r="D48" i="6" s="1"/>
  <c r="X32" i="8"/>
  <c r="AA22" i="8" s="1"/>
  <c r="AB22" i="8" s="1"/>
  <c r="D43" i="8" s="1"/>
  <c r="D44" i="8" s="1"/>
  <c r="V35" i="8"/>
  <c r="V34" i="8" s="1"/>
  <c r="W25" i="6"/>
  <c r="X25" i="6" s="1"/>
  <c r="W23" i="6"/>
  <c r="X23" i="6" s="1"/>
  <c r="O24" i="6"/>
  <c r="P24" i="6" s="1"/>
  <c r="W24" i="6"/>
  <c r="X24" i="6" s="1"/>
  <c r="W25" i="4"/>
  <c r="X25" i="4" s="1"/>
  <c r="W26" i="4"/>
  <c r="X26" i="4" s="1"/>
  <c r="O24" i="4"/>
  <c r="P24" i="4" s="1"/>
  <c r="W22" i="4"/>
  <c r="X22" i="4" s="1"/>
  <c r="W24" i="4"/>
  <c r="X24" i="4" s="1"/>
  <c r="W27" i="4"/>
  <c r="X27" i="4" s="1"/>
  <c r="W28" i="4"/>
  <c r="X28" i="4" s="1"/>
  <c r="D48" i="4"/>
  <c r="V35" i="4" s="1"/>
  <c r="V34" i="4" s="1"/>
  <c r="G36" i="6"/>
  <c r="L34" i="6" s="1"/>
  <c r="W28" i="6"/>
  <c r="X28" i="6" s="1"/>
  <c r="W22" i="6"/>
  <c r="X22" i="6" s="1"/>
  <c r="W23" i="4"/>
  <c r="X23" i="4" s="1"/>
  <c r="O26" i="6"/>
  <c r="P26" i="6" s="1"/>
  <c r="O29" i="6"/>
  <c r="P29" i="6" s="1"/>
  <c r="O27" i="6"/>
  <c r="P27" i="6" s="1"/>
  <c r="O28" i="6"/>
  <c r="P28" i="6" s="1"/>
  <c r="W27" i="6"/>
  <c r="X27" i="6" s="1"/>
  <c r="W26" i="6"/>
  <c r="X26" i="6" s="1"/>
  <c r="G36" i="4"/>
  <c r="L34" i="4" s="1"/>
  <c r="O29" i="4"/>
  <c r="P29" i="4" s="1"/>
  <c r="O26" i="4"/>
  <c r="P26" i="4" s="1"/>
  <c r="O28" i="4"/>
  <c r="P28" i="4" s="1"/>
  <c r="O27" i="4"/>
  <c r="P27" i="4" s="1"/>
  <c r="L30" i="1"/>
  <c r="L29" i="1"/>
  <c r="L26" i="1"/>
  <c r="L25" i="1"/>
  <c r="L24" i="1"/>
  <c r="AD22" i="8" l="1"/>
  <c r="D46" i="8" s="1"/>
  <c r="F44" i="8"/>
  <c r="G44" i="8" s="1"/>
  <c r="X32" i="6"/>
  <c r="AA22" i="6" s="1"/>
  <c r="AB22" i="6" s="1"/>
  <c r="D43" i="6" s="1"/>
  <c r="D44" i="6" s="1"/>
  <c r="X32" i="4"/>
  <c r="AA22" i="4" s="1"/>
  <c r="AB22" i="4" s="1"/>
  <c r="D43" i="4" s="1"/>
  <c r="D44" i="4" s="1"/>
  <c r="F44" i="4"/>
  <c r="V35" i="6"/>
  <c r="V34" i="6" s="1"/>
  <c r="M30" i="1"/>
  <c r="M25" i="1"/>
  <c r="M24" i="1"/>
  <c r="M26" i="1"/>
  <c r="D45" i="8" l="1"/>
  <c r="H44" i="8"/>
  <c r="J44" i="8"/>
  <c r="G48" i="8" s="1"/>
  <c r="AD22" i="6"/>
  <c r="AD22" i="4"/>
  <c r="D46" i="4" s="1"/>
  <c r="D46" i="6"/>
  <c r="D45" i="6"/>
  <c r="F44" i="6"/>
  <c r="G44" i="6" s="1"/>
  <c r="G44" i="4"/>
  <c r="M28" i="1"/>
  <c r="L28" i="1"/>
  <c r="M27" i="1"/>
  <c r="L27" i="1"/>
  <c r="M29" i="1"/>
  <c r="I21" i="1"/>
  <c r="I23" i="1"/>
  <c r="L23" i="1" s="1"/>
  <c r="I22" i="1"/>
  <c r="D45" i="4" l="1"/>
  <c r="H44" i="6"/>
  <c r="J44" i="6"/>
  <c r="G48" i="6" s="1"/>
  <c r="H44" i="4"/>
  <c r="J44" i="4"/>
  <c r="G48" i="4" s="1"/>
  <c r="AC22" i="1"/>
  <c r="Y28" i="1"/>
  <c r="L22" i="1"/>
  <c r="S22" i="1" s="1"/>
  <c r="Y25" i="1"/>
  <c r="Y30" i="1"/>
  <c r="Y24" i="1"/>
  <c r="Z22" i="1"/>
  <c r="Y29" i="1"/>
  <c r="Y26" i="1"/>
  <c r="Y22" i="1"/>
  <c r="Y27" i="1"/>
  <c r="M22" i="1"/>
  <c r="Y23" i="1"/>
  <c r="M23" i="1"/>
  <c r="B21" i="1"/>
  <c r="J30" i="1"/>
  <c r="J29" i="1"/>
  <c r="J28" i="1"/>
  <c r="J27" i="1"/>
  <c r="J26" i="1"/>
  <c r="J25" i="1"/>
  <c r="J24" i="1"/>
  <c r="J23" i="1"/>
  <c r="J22" i="1"/>
  <c r="F41" i="1" l="1"/>
  <c r="F36" i="1"/>
  <c r="Y32" i="1"/>
  <c r="S24" i="1"/>
  <c r="S23" i="1"/>
  <c r="W23" i="1" s="1"/>
  <c r="X23" i="1" s="1"/>
  <c r="N30" i="1"/>
  <c r="U30" i="1" s="1"/>
  <c r="N29" i="1"/>
  <c r="U29" i="1" s="1"/>
  <c r="N28" i="1"/>
  <c r="U28" i="1" s="1"/>
  <c r="K25" i="1"/>
  <c r="V25" i="1" s="1"/>
  <c r="N27" i="1"/>
  <c r="U27" i="1" s="1"/>
  <c r="N26" i="1"/>
  <c r="U26" i="1" s="1"/>
  <c r="N25" i="1"/>
  <c r="U25" i="1" s="1"/>
  <c r="N24" i="1"/>
  <c r="U24" i="1" s="1"/>
  <c r="N23" i="1"/>
  <c r="U23" i="1" s="1"/>
  <c r="N22" i="1"/>
  <c r="U22" i="1" s="1"/>
  <c r="K24" i="1"/>
  <c r="V24" i="1" s="1"/>
  <c r="K30" i="1"/>
  <c r="V30" i="1" s="1"/>
  <c r="K22" i="1"/>
  <c r="V22" i="1" s="1"/>
  <c r="K28" i="1"/>
  <c r="V28" i="1" s="1"/>
  <c r="K29" i="1"/>
  <c r="V29" i="1" s="1"/>
  <c r="K26" i="1"/>
  <c r="V26" i="1" s="1"/>
  <c r="K27" i="1"/>
  <c r="V27" i="1" s="1"/>
  <c r="K23" i="1"/>
  <c r="V23" i="1" s="1"/>
  <c r="D42" i="1" l="1"/>
  <c r="G42" i="1" s="1"/>
  <c r="W30" i="1"/>
  <c r="X30" i="1" s="1"/>
  <c r="W24" i="1"/>
  <c r="X24" i="1" s="1"/>
  <c r="W25" i="1"/>
  <c r="X25" i="1" s="1"/>
  <c r="W28" i="1"/>
  <c r="X28" i="1" s="1"/>
  <c r="W22" i="1"/>
  <c r="X22" i="1" s="1"/>
  <c r="W26" i="1"/>
  <c r="X26" i="1" s="1"/>
  <c r="W27" i="1"/>
  <c r="X27" i="1" s="1"/>
  <c r="W29" i="1"/>
  <c r="X29" i="1" s="1"/>
  <c r="G46" i="1"/>
  <c r="D41" i="1"/>
  <c r="G41" i="1" s="1"/>
  <c r="X32" i="1" l="1"/>
  <c r="AA22" i="1" s="1"/>
  <c r="AB22" i="1" s="1"/>
  <c r="D43" i="1" s="1"/>
  <c r="AD22" i="1" l="1"/>
  <c r="D35" i="1"/>
  <c r="G35" i="1" s="1"/>
  <c r="D36" i="1" l="1"/>
  <c r="G36" i="1" s="1"/>
  <c r="D37" i="1"/>
  <c r="G37" i="1" s="1"/>
  <c r="L34" i="1" l="1"/>
  <c r="D48" i="1"/>
  <c r="O26" i="1"/>
  <c r="P26" i="1" s="1"/>
  <c r="O24" i="1"/>
  <c r="P24" i="1" s="1"/>
  <c r="O29" i="1"/>
  <c r="P29" i="1" s="1"/>
  <c r="O27" i="1"/>
  <c r="P27" i="1" s="1"/>
  <c r="O25" i="1"/>
  <c r="P25" i="1" s="1"/>
  <c r="O30" i="1"/>
  <c r="P30" i="1" s="1"/>
  <c r="O28" i="1"/>
  <c r="P28" i="1" s="1"/>
  <c r="D45" i="1" l="1"/>
  <c r="V35" i="1"/>
  <c r="D46" i="1" l="1"/>
  <c r="V34" i="1"/>
  <c r="F44" i="1" s="1"/>
  <c r="G44" i="1" s="1"/>
  <c r="J44" i="1" l="1"/>
  <c r="G48" i="1" s="1"/>
  <c r="H44" i="1" l="1"/>
</calcChain>
</file>

<file path=xl/sharedStrings.xml><?xml version="1.0" encoding="utf-8"?>
<sst xmlns="http://schemas.openxmlformats.org/spreadsheetml/2006/main" count="2467" uniqueCount="186">
  <si>
    <t>ANNEX of SOP A1068</t>
  </si>
  <si>
    <t>Data evaluation form multi-level standard addition</t>
  </si>
  <si>
    <t>ug/kg</t>
  </si>
  <si>
    <t>mg/kg</t>
  </si>
  <si>
    <t>Analysis date:</t>
  </si>
  <si>
    <t>Analyte:</t>
  </si>
  <si>
    <t>Tulathromycine</t>
  </si>
  <si>
    <t>Lab journal / page:</t>
  </si>
  <si>
    <t>Matrix:</t>
  </si>
  <si>
    <t>Nier</t>
  </si>
  <si>
    <t>MRL / reporting limit:</t>
  </si>
  <si>
    <t>Unit:</t>
  </si>
  <si>
    <t>Sample 1</t>
  </si>
  <si>
    <t>matrix</t>
  </si>
  <si>
    <t>Varkensnier</t>
  </si>
  <si>
    <t>RIKILTnumber</t>
  </si>
  <si>
    <t>Red cells should be deleted manually</t>
  </si>
  <si>
    <t>↓</t>
  </si>
  <si>
    <t>Addition</t>
  </si>
  <si>
    <t>RT</t>
  </si>
  <si>
    <t>Area
most abundant</t>
  </si>
  <si>
    <t>Area
least abundant</t>
  </si>
  <si>
    <t>RT IS</t>
  </si>
  <si>
    <t>IS Area</t>
  </si>
  <si>
    <t>Relative RT</t>
  </si>
  <si>
    <t>Δ rel. RT</t>
  </si>
  <si>
    <t>Response
factor</t>
  </si>
  <si>
    <t>Ion ratio</t>
  </si>
  <si>
    <t>Δ ion ratio</t>
  </si>
  <si>
    <t>Calculated</t>
  </si>
  <si>
    <t>Result</t>
  </si>
  <si>
    <t>(%)</t>
  </si>
  <si>
    <t>concentration</t>
  </si>
  <si>
    <t>Trueness</t>
  </si>
  <si>
    <t>afw. ionratio (%)</t>
  </si>
  <si>
    <t>afw. rel RT (%)</t>
  </si>
  <si>
    <t>y(i,ber)</t>
  </si>
  <si>
    <t>((y(i) - y(i, ber))^2</t>
  </si>
  <si>
    <t>(x(i)-x(gem))^2</t>
  </si>
  <si>
    <t>ygem</t>
  </si>
  <si>
    <t>s(y/x)</t>
  </si>
  <si>
    <t>s(xe)</t>
  </si>
  <si>
    <t>t</t>
  </si>
  <si>
    <t>U</t>
  </si>
  <si>
    <t>Slope</t>
  </si>
  <si>
    <t>y intercept</t>
  </si>
  <si>
    <t>correlation</t>
  </si>
  <si>
    <t>Acceptance criteria of the sample:</t>
  </si>
  <si>
    <t>Description</t>
  </si>
  <si>
    <t>Criterion</t>
  </si>
  <si>
    <t>Accepted</t>
  </si>
  <si>
    <t>MLSA aliquots accepted:</t>
  </si>
  <si>
    <t>Predicted RSD(%)=</t>
  </si>
  <si>
    <t>Linearity</t>
  </si>
  <si>
    <t>&gt; 0,980</t>
  </si>
  <si>
    <t>Date:</t>
  </si>
  <si>
    <t>c=</t>
  </si>
  <si>
    <r>
      <t xml:space="preserve">Max. </t>
    </r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ion ratio MLSA aliquots</t>
    </r>
  </si>
  <si>
    <t>=&lt;</t>
  </si>
  <si>
    <r>
      <t xml:space="preserve">Max. </t>
    </r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rel. RT MLSA aliquots</t>
    </r>
  </si>
  <si>
    <t>1st validation level:</t>
  </si>
  <si>
    <t>Signalture:</t>
  </si>
  <si>
    <t>Result:</t>
  </si>
  <si>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ion ratio sample aliquots</t>
    </r>
  </si>
  <si>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rel. RT sample aliquots</t>
    </r>
  </si>
  <si>
    <r>
      <t>s</t>
    </r>
    <r>
      <rPr>
        <vertAlign val="subscript"/>
        <sz val="12"/>
        <rFont val="Arial"/>
        <family val="2"/>
      </rPr>
      <t>s</t>
    </r>
  </si>
  <si>
    <t>RSD calculated result (%)</t>
  </si>
  <si>
    <t>&lt;</t>
  </si>
  <si>
    <t>CI lower limit</t>
  </si>
  <si>
    <t>2nd validation level:</t>
  </si>
  <si>
    <t>CI upper limit</t>
  </si>
  <si>
    <t>Confirmatory result:</t>
  </si>
  <si>
    <t>Remarks:</t>
  </si>
  <si>
    <t>Monster 655584 varkensnier: 3845 µg/kg tulathromycine (&lt;MRL varkensnier (=8000))</t>
  </si>
  <si>
    <t>vlees</t>
  </si>
  <si>
    <t>Varkensvlees</t>
  </si>
  <si>
    <t>Monster 659592 varkensvlees: 442 µg/kg tulathromycine (&lt;MRL varkensvlees (=800))</t>
  </si>
  <si>
    <t>655584 varkensnier</t>
  </si>
  <si>
    <t>655584 varkensvlees</t>
  </si>
  <si>
    <t>659591 varkensnier</t>
  </si>
  <si>
    <t>659592 varkensvlees</t>
  </si>
  <si>
    <t>hulpblad_acc</t>
  </si>
  <si>
    <t>658830 kalfsnier</t>
  </si>
  <si>
    <t>658834 kalfsvlees</t>
  </si>
  <si>
    <t>Ruwe data</t>
  </si>
  <si>
    <t>MSO controles</t>
  </si>
  <si>
    <t>kalfsnier</t>
  </si>
  <si>
    <t>Monster 658830 (kalfsnier): 1132 µg/kg tulathromycine (&lt;MRL (=3000 µg/kg))</t>
  </si>
  <si>
    <t>kalfsvlees</t>
  </si>
  <si>
    <t>Kalfsvlees</t>
  </si>
  <si>
    <t>Monster 658834 (kalfsvlees): 68 µg/kg tylathromycine (&lt;0.25*MRL (MRL=300 µg/kg))</t>
  </si>
  <si>
    <t>Index</t>
  </si>
  <si>
    <t>Sample Name</t>
  </si>
  <si>
    <t>Sample Type</t>
  </si>
  <si>
    <t>Component Name</t>
  </si>
  <si>
    <t>Component Type</t>
  </si>
  <si>
    <t>Component Group Name</t>
  </si>
  <si>
    <t>Area</t>
  </si>
  <si>
    <t>Retention Time</t>
  </si>
  <si>
    <t>200655584 A</t>
  </si>
  <si>
    <t>Unknown</t>
  </si>
  <si>
    <t>Tulathromycine 1</t>
  </si>
  <si>
    <t>Quantifiers</t>
  </si>
  <si>
    <t>Tulathromycine 2</t>
  </si>
  <si>
    <t>Qualifiers</t>
  </si>
  <si>
    <t>Tulathromycine 3</t>
  </si>
  <si>
    <t>Tulathromycine-d7 158</t>
  </si>
  <si>
    <t>200655584 B</t>
  </si>
  <si>
    <t>200655584 + 0.25*MRL</t>
  </si>
  <si>
    <t>200655584 + 0.5*MRL</t>
  </si>
  <si>
    <t>200655584 + 1*MRL</t>
  </si>
  <si>
    <t>200655584 + 2*MRL</t>
  </si>
  <si>
    <t>200655584 + 5*MRL</t>
  </si>
  <si>
    <t>200655584 + 10*MRL</t>
  </si>
  <si>
    <t>spoel</t>
  </si>
  <si>
    <t>Bl varkensnier</t>
  </si>
  <si>
    <t>Bl varkensnier + 1MRL</t>
  </si>
  <si>
    <t>Bl varkensvlees</t>
  </si>
  <si>
    <t>Bl varkensvlees + 1*MRL</t>
  </si>
  <si>
    <t>200658834 A</t>
  </si>
  <si>
    <t>200658834 B</t>
  </si>
  <si>
    <t>200658834 + 0.25*MRL</t>
  </si>
  <si>
    <t>200658834 + 0.5*MRL</t>
  </si>
  <si>
    <t>200658834 + 1*MRL</t>
  </si>
  <si>
    <t>200658834 + 2*MRL</t>
  </si>
  <si>
    <t>200658834 + 5*MRL</t>
  </si>
  <si>
    <t>Bl. Vleeskalf</t>
  </si>
  <si>
    <t>Bl vleeskalf + 1*MRL</t>
  </si>
  <si>
    <t>200658830 A</t>
  </si>
  <si>
    <t>200658830 B</t>
  </si>
  <si>
    <t>200658830 + 0.25*MRL</t>
  </si>
  <si>
    <t>200658830 + 0.5*MRL</t>
  </si>
  <si>
    <t>200658830 + 1*MRL</t>
  </si>
  <si>
    <t>200658830 + 2*MRL</t>
  </si>
  <si>
    <t>200658830 + 5*MRL</t>
  </si>
  <si>
    <t>Bl rundernier</t>
  </si>
  <si>
    <t>Bl rundernier + 1*MRL</t>
  </si>
  <si>
    <t>200659592 A</t>
  </si>
  <si>
    <t>200659592 B</t>
  </si>
  <si>
    <t>200659592 + 0.25*MRL</t>
  </si>
  <si>
    <t>200659592 + 0.5*MRL</t>
  </si>
  <si>
    <t>200659592 + 1*MRL</t>
  </si>
  <si>
    <t>200659592 + 2*MRL</t>
  </si>
  <si>
    <t>200659592 + 5*MRL</t>
  </si>
  <si>
    <t>200659592 + 10*MRL</t>
  </si>
  <si>
    <t>200659591 A</t>
  </si>
  <si>
    <t>200659591 B</t>
  </si>
  <si>
    <t>200659591 + 0.25*MRL</t>
  </si>
  <si>
    <t>200659591 + 0.5*MRL</t>
  </si>
  <si>
    <t>200659591 + 1*MRL</t>
  </si>
  <si>
    <t>200659591 + 2*MRL</t>
  </si>
  <si>
    <t>200659591 + 5*MRL</t>
  </si>
  <si>
    <t>200659591 + 10*MRL</t>
  </si>
  <si>
    <t>QC hoog</t>
  </si>
  <si>
    <t>QC laag</t>
  </si>
  <si>
    <t>MSO nier</t>
  </si>
  <si>
    <t>MSO vlees</t>
  </si>
  <si>
    <t>gemiddelde</t>
  </si>
  <si>
    <t>Verschil tov QC</t>
  </si>
  <si>
    <t>Data evaluation form multi-level standard addition for MRL substances</t>
  </si>
  <si>
    <t>Data evaluation form multi-level standard addition for prohibited substances</t>
  </si>
  <si>
    <t>yes</t>
  </si>
  <si>
    <t>Always fill in C10, C11 and L34</t>
  </si>
  <si>
    <t/>
  </si>
  <si>
    <r>
      <t>s</t>
    </r>
    <r>
      <rPr>
        <vertAlign val="subscript"/>
        <sz val="12"/>
        <rFont val="Arial"/>
        <family val="2"/>
      </rPr>
      <t>s</t>
    </r>
    <r>
      <rPr>
        <sz val="12"/>
        <rFont val="Arial"/>
        <family val="2"/>
      </rPr>
      <t xml:space="preserve"> = s(xe)</t>
    </r>
  </si>
  <si>
    <t>&gt; 0.990</t>
  </si>
  <si>
    <t>Sample number</t>
  </si>
  <si>
    <t>Signature:</t>
  </si>
  <si>
    <t>Product ion 1</t>
  </si>
  <si>
    <t>Product ion 2</t>
  </si>
  <si>
    <t>Lowest calibration level</t>
  </si>
  <si>
    <t>MRL</t>
  </si>
  <si>
    <t>Spiked conc – average conc, squared</t>
  </si>
  <si>
    <t>y=ax+b</t>
  </si>
  <si>
    <r>
      <rPr>
        <b/>
        <sz val="12"/>
        <rFont val="Arial"/>
        <family val="2"/>
      </rPr>
      <t>s</t>
    </r>
    <r>
      <rPr>
        <b/>
        <vertAlign val="subscript"/>
        <sz val="12"/>
        <rFont val="Arial"/>
        <family val="2"/>
      </rPr>
      <t>res</t>
    </r>
  </si>
  <si>
    <t>average</t>
  </si>
  <si>
    <r>
      <t>RF</t>
    </r>
    <r>
      <rPr>
        <b/>
        <vertAlign val="subscript"/>
        <sz val="9"/>
        <color theme="1"/>
        <rFont val="Arial"/>
        <family val="2"/>
      </rPr>
      <t>calculated</t>
    </r>
    <r>
      <rPr>
        <b/>
        <sz val="9"/>
        <color theme="1"/>
        <rFont val="Arial"/>
        <family val="2"/>
      </rPr>
      <t xml:space="preserve">
Calculated response factor RF</t>
    </r>
  </si>
  <si>
    <r>
      <t>(RF</t>
    </r>
    <r>
      <rPr>
        <b/>
        <vertAlign val="subscript"/>
        <sz val="9"/>
        <color theme="1"/>
        <rFont val="Arial"/>
        <family val="2"/>
      </rPr>
      <t>observed</t>
    </r>
    <r>
      <rPr>
        <b/>
        <sz val="9"/>
        <color theme="1"/>
        <rFont val="Arial"/>
        <family val="2"/>
      </rPr>
      <t>-RF</t>
    </r>
    <r>
      <rPr>
        <b/>
        <vertAlign val="subscript"/>
        <sz val="9"/>
        <color theme="1"/>
        <rFont val="Arial"/>
        <family val="2"/>
      </rPr>
      <t>calculated</t>
    </r>
    <r>
      <rPr>
        <b/>
        <sz val="9"/>
        <color theme="1"/>
        <rFont val="Arial"/>
        <family val="2"/>
      </rPr>
      <t>)</t>
    </r>
    <r>
      <rPr>
        <b/>
        <vertAlign val="superscript"/>
        <sz val="9"/>
        <color theme="1"/>
        <rFont val="Arial"/>
        <family val="2"/>
      </rPr>
      <t>2</t>
    </r>
  </si>
  <si>
    <t>sum</t>
  </si>
  <si>
    <t>deviation ionratio (%)</t>
  </si>
  <si>
    <t>deviation rel RT (%)</t>
  </si>
  <si>
    <t>=│b/a│</t>
  </si>
  <si>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ion ratio sample aliquot</t>
    </r>
  </si>
  <si>
    <r>
      <t>Δ</t>
    </r>
    <r>
      <rPr>
        <sz val="12"/>
        <rFont val="Arial"/>
        <family val="2"/>
      </rPr>
      <t xml:space="preserve"> ion ratio sample aliquot</t>
    </r>
  </si>
  <si>
    <r>
      <rPr>
        <sz val="12"/>
        <rFont val="Calibri"/>
        <family val="2"/>
      </rPr>
      <t>Δ</t>
    </r>
    <r>
      <rPr>
        <sz val="12"/>
        <rFont val="Arial"/>
        <family val="2"/>
      </rPr>
      <t xml:space="preserve"> rel. RT sample aliquot</t>
    </r>
  </si>
  <si>
    <r>
      <t>Δ</t>
    </r>
    <r>
      <rPr>
        <sz val="12"/>
        <rFont val="Arial"/>
        <family val="2"/>
      </rPr>
      <t xml:space="preserve"> rel. RT sample aliquot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</si>
</sst>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%"/>
    <numFmt numFmtId="166" formatCode="0.000000"/>
    <numFmt numFmtId="167" formatCode="0.0"/>
    <numFmt numFmtId="168" formatCode="0.0E+00"/>
    <numFmt numFmtId="169" formatCode="0.0000000E+00"/>
    <numFmt numFmtId="170" formatCode="0.00000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sz val="14"/>
      <name val="Arial"/>
      <family val="2"/>
    </font>
    <font>
      <sz val="12"/>
      <name val="Calibri"/>
      <family val="2"/>
    </font>
    <font>
      <vertAlign val="sub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1"/>
      <name val="Arial"/>
      <family val="2"/>
    </font>
    <font>
      <b/>
      <vertAlign val="subscript"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theme="0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4" fontId="2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2" fontId="1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/>
    <xf numFmtId="0" fontId="1" fillId="0" borderId="5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5" fontId="1" fillId="3" borderId="7" xfId="1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3" borderId="13" xfId="0" applyNumberFormat="1" applyFont="1" applyFill="1" applyBorder="1" applyAlignment="1">
      <alignment horizontal="center"/>
    </xf>
    <xf numFmtId="165" fontId="1" fillId="3" borderId="11" xfId="1" applyNumberFormat="1" applyFont="1" applyFill="1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>
      <alignment horizontal="center"/>
    </xf>
    <xf numFmtId="165" fontId="1" fillId="3" borderId="16" xfId="1" applyNumberFormat="1" applyFont="1" applyFill="1" applyBorder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1" fillId="4" borderId="0" xfId="0" applyFont="1" applyFill="1" applyAlignment="1">
      <alignment horizontal="right"/>
    </xf>
    <xf numFmtId="0" fontId="1" fillId="4" borderId="15" xfId="0" applyFont="1" applyFill="1" applyBorder="1" applyAlignment="1">
      <alignment horizontal="center"/>
    </xf>
    <xf numFmtId="14" fontId="1" fillId="5" borderId="0" xfId="0" applyNumberFormat="1" applyFont="1" applyFill="1" applyAlignment="1" applyProtection="1">
      <alignment horizontal="left"/>
      <protection locked="0"/>
    </xf>
    <xf numFmtId="0" fontId="1" fillId="0" borderId="21" xfId="0" applyFont="1" applyBorder="1"/>
    <xf numFmtId="2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25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0" xfId="1" applyNumberFormat="1" applyFont="1" applyProtection="1"/>
    <xf numFmtId="0" fontId="1" fillId="0" borderId="26" xfId="0" applyFont="1" applyBorder="1" applyAlignment="1">
      <alignment horizontal="center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3" borderId="7" xfId="0" applyNumberFormat="1" applyFont="1" applyFill="1" applyBorder="1" applyAlignment="1">
      <alignment horizontal="center"/>
    </xf>
    <xf numFmtId="165" fontId="1" fillId="3" borderId="27" xfId="1" applyNumberFormat="1" applyFont="1" applyFill="1" applyBorder="1" applyAlignment="1" applyProtection="1">
      <alignment horizontal="center"/>
    </xf>
    <xf numFmtId="165" fontId="1" fillId="3" borderId="0" xfId="1" applyNumberFormat="1" applyFont="1" applyFill="1" applyBorder="1" applyAlignment="1" applyProtection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>
      <alignment horizontal="center"/>
    </xf>
    <xf numFmtId="165" fontId="1" fillId="3" borderId="20" xfId="1" applyNumberFormat="1" applyFont="1" applyFill="1" applyBorder="1" applyAlignment="1" applyProtection="1">
      <alignment horizontal="center"/>
    </xf>
    <xf numFmtId="165" fontId="1" fillId="3" borderId="1" xfId="1" applyNumberFormat="1" applyFont="1" applyFill="1" applyBorder="1" applyAlignment="1" applyProtection="1">
      <alignment horizontal="center"/>
    </xf>
    <xf numFmtId="2" fontId="1" fillId="3" borderId="16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center"/>
    </xf>
    <xf numFmtId="167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5" fontId="1" fillId="4" borderId="11" xfId="1" applyNumberFormat="1" applyFont="1" applyFill="1" applyBorder="1" applyAlignment="1" applyProtection="1">
      <alignment horizontal="center"/>
    </xf>
    <xf numFmtId="0" fontId="1" fillId="4" borderId="0" xfId="0" quotePrefix="1" applyFont="1" applyFill="1" applyAlignment="1">
      <alignment horizontal="right"/>
    </xf>
    <xf numFmtId="9" fontId="1" fillId="4" borderId="0" xfId="0" quotePrefix="1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0" xfId="0" quotePrefix="1" applyNumberFormat="1" applyFont="1" applyFill="1" applyAlignment="1">
      <alignment horizontal="left"/>
    </xf>
    <xf numFmtId="165" fontId="1" fillId="4" borderId="16" xfId="1" applyNumberFormat="1" applyFont="1" applyFill="1" applyBorder="1" applyAlignment="1" applyProtection="1">
      <alignment horizontal="center"/>
    </xf>
    <xf numFmtId="0" fontId="1" fillId="4" borderId="0" xfId="0" applyFont="1" applyFill="1" applyAlignment="1">
      <alignment horizontal="center"/>
    </xf>
    <xf numFmtId="165" fontId="1" fillId="4" borderId="0" xfId="1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65" fontId="1" fillId="4" borderId="1" xfId="1" applyNumberFormat="1" applyFont="1" applyFill="1" applyBorder="1" applyAlignment="1" applyProtection="1">
      <alignment horizontal="center"/>
    </xf>
    <xf numFmtId="0" fontId="1" fillId="4" borderId="1" xfId="0" quotePrefix="1" applyFont="1" applyFill="1" applyBorder="1" applyAlignment="1">
      <alignment horizontal="right"/>
    </xf>
    <xf numFmtId="165" fontId="1" fillId="4" borderId="1" xfId="0" quotePrefix="1" applyNumberFormat="1" applyFont="1" applyFill="1" applyBorder="1" applyAlignment="1">
      <alignment horizontal="left"/>
    </xf>
    <xf numFmtId="165" fontId="1" fillId="4" borderId="7" xfId="1" applyNumberFormat="1" applyFont="1" applyFill="1" applyBorder="1" applyAlignment="1" applyProtection="1">
      <alignment horizontal="center"/>
    </xf>
    <xf numFmtId="0" fontId="1" fillId="4" borderId="8" xfId="0" quotePrefix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167" fontId="1" fillId="2" borderId="26" xfId="0" applyNumberFormat="1" applyFont="1" applyFill="1" applyBorder="1" applyAlignment="1" applyProtection="1">
      <alignment horizontal="center"/>
      <protection locked="0"/>
    </xf>
    <xf numFmtId="167" fontId="1" fillId="2" borderId="25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164" fontId="1" fillId="0" borderId="0" xfId="0" applyNumberFormat="1" applyFont="1"/>
    <xf numFmtId="167" fontId="1" fillId="0" borderId="26" xfId="0" applyNumberFormat="1" applyFont="1" applyBorder="1" applyAlignment="1" applyProtection="1">
      <alignment horizontal="center"/>
      <protection locked="0"/>
    </xf>
    <xf numFmtId="167" fontId="1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7" fontId="1" fillId="4" borderId="11" xfId="1" applyNumberFormat="1" applyFont="1" applyFill="1" applyBorder="1" applyAlignment="1" applyProtection="1">
      <alignment horizontal="center"/>
    </xf>
    <xf numFmtId="167" fontId="1" fillId="4" borderId="16" xfId="1" applyNumberFormat="1" applyFont="1" applyFill="1" applyBorder="1" applyAlignment="1" applyProtection="1">
      <alignment horizontal="center"/>
    </xf>
    <xf numFmtId="0" fontId="5" fillId="4" borderId="0" xfId="0" applyFont="1" applyFill="1"/>
    <xf numFmtId="167" fontId="2" fillId="4" borderId="0" xfId="0" applyNumberFormat="1" applyFont="1" applyFill="1" applyAlignment="1">
      <alignment horizontal="left"/>
    </xf>
    <xf numFmtId="168" fontId="1" fillId="0" borderId="0" xfId="0" applyNumberFormat="1" applyFont="1"/>
    <xf numFmtId="0" fontId="7" fillId="0" borderId="7" xfId="0" applyFont="1" applyBorder="1" applyAlignment="1">
      <alignment horizontal="center"/>
    </xf>
    <xf numFmtId="9" fontId="1" fillId="3" borderId="12" xfId="1" applyFont="1" applyFill="1" applyBorder="1" applyAlignment="1" applyProtection="1">
      <alignment horizontal="center"/>
    </xf>
    <xf numFmtId="9" fontId="1" fillId="3" borderId="15" xfId="1" applyFont="1" applyFill="1" applyBorder="1" applyAlignment="1" applyProtection="1">
      <alignment horizontal="center"/>
    </xf>
    <xf numFmtId="2" fontId="1" fillId="4" borderId="11" xfId="1" applyNumberFormat="1" applyFont="1" applyFill="1" applyBorder="1" applyAlignment="1" applyProtection="1">
      <alignment horizontal="center"/>
    </xf>
    <xf numFmtId="9" fontId="1" fillId="0" borderId="0" xfId="0" applyNumberFormat="1" applyFont="1"/>
    <xf numFmtId="2" fontId="2" fillId="3" borderId="29" xfId="0" applyNumberFormat="1" applyFont="1" applyFill="1" applyBorder="1" applyAlignment="1">
      <alignment horizontal="center"/>
    </xf>
    <xf numFmtId="11" fontId="0" fillId="0" borderId="0" xfId="0" applyNumberFormat="1"/>
    <xf numFmtId="9" fontId="0" fillId="0" borderId="0" xfId="2" applyFont="1"/>
    <xf numFmtId="165" fontId="0" fillId="0" borderId="0" xfId="2" applyNumberFormat="1" applyFont="1"/>
    <xf numFmtId="165" fontId="0" fillId="6" borderId="0" xfId="2" applyNumberFormat="1" applyFont="1" applyFill="1"/>
    <xf numFmtId="169" fontId="1" fillId="0" borderId="0" xfId="0" applyNumberFormat="1" applyFont="1"/>
    <xf numFmtId="170" fontId="1" fillId="3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quotePrefix="1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167" fontId="1" fillId="4" borderId="0" xfId="1" applyNumberFormat="1" applyFont="1" applyFill="1" applyBorder="1" applyAlignment="1" applyProtection="1">
      <alignment horizontal="center"/>
    </xf>
    <xf numFmtId="165" fontId="1" fillId="4" borderId="0" xfId="0" quotePrefix="1" applyNumberFormat="1" applyFont="1" applyFill="1" applyBorder="1" applyAlignment="1">
      <alignment horizontal="left"/>
    </xf>
    <xf numFmtId="9" fontId="1" fillId="4" borderId="8" xfId="0" quotePrefix="1" applyNumberFormat="1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167" fontId="2" fillId="7" borderId="0" xfId="0" applyNumberFormat="1" applyFont="1" applyFill="1" applyAlignment="1">
      <alignment horizontal="left"/>
    </xf>
    <xf numFmtId="0" fontId="11" fillId="0" borderId="0" xfId="0" applyFont="1" applyProtection="1">
      <protection hidden="1"/>
    </xf>
    <xf numFmtId="2" fontId="1" fillId="0" borderId="0" xfId="0" applyNumberFormat="1" applyFont="1" applyFill="1"/>
    <xf numFmtId="169" fontId="1" fillId="0" borderId="0" xfId="0" applyNumberFormat="1" applyFont="1" applyFill="1"/>
    <xf numFmtId="0" fontId="1" fillId="0" borderId="0" xfId="0" applyFont="1" applyFill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Protection="1">
      <protection hidden="1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165" fontId="1" fillId="0" borderId="0" xfId="1" applyNumberFormat="1" applyFont="1" applyFill="1" applyAlignment="1" applyProtection="1">
      <alignment horizontal="center"/>
    </xf>
    <xf numFmtId="2" fontId="14" fillId="8" borderId="31" xfId="0" applyNumberFormat="1" applyFont="1" applyFill="1" applyBorder="1" applyAlignment="1">
      <alignment horizontal="center"/>
    </xf>
    <xf numFmtId="1" fontId="14" fillId="8" borderId="32" xfId="0" applyNumberFormat="1" applyFont="1" applyFill="1" applyBorder="1" applyAlignment="1">
      <alignment horizontal="center"/>
    </xf>
    <xf numFmtId="1" fontId="14" fillId="8" borderId="31" xfId="0" applyNumberFormat="1" applyFont="1" applyFill="1" applyBorder="1" applyAlignment="1">
      <alignment horizontal="center"/>
    </xf>
    <xf numFmtId="1" fontId="14" fillId="8" borderId="33" xfId="0" applyNumberFormat="1" applyFont="1" applyFill="1" applyBorder="1" applyAlignment="1">
      <alignment horizontal="center"/>
    </xf>
    <xf numFmtId="167" fontId="14" fillId="8" borderId="30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6" fillId="0" borderId="0" xfId="0" applyFont="1"/>
    <xf numFmtId="167" fontId="16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0" fontId="18" fillId="0" borderId="0" xfId="0" applyFont="1"/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165" fontId="1" fillId="0" borderId="0" xfId="1" applyNumberFormat="1" applyFont="1" applyAlignment="1" applyProtection="1">
      <alignment horizontal="center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9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4" fontId="1" fillId="7" borderId="0" xfId="0" applyNumberFormat="1" applyFont="1" applyFill="1" applyAlignment="1" applyProtection="1">
      <alignment horizontal="left"/>
      <protection locked="0"/>
    </xf>
    <xf numFmtId="0" fontId="1" fillId="9" borderId="26" xfId="0" applyFont="1" applyFill="1" applyBorder="1" applyAlignment="1">
      <alignment horizontal="center"/>
    </xf>
    <xf numFmtId="0" fontId="1" fillId="9" borderId="26" xfId="0" applyFont="1" applyFill="1" applyBorder="1" applyAlignment="1" applyProtection="1">
      <alignment horizontal="center"/>
      <protection locked="0"/>
    </xf>
    <xf numFmtId="0" fontId="14" fillId="9" borderId="30" xfId="0" applyFont="1" applyFill="1" applyBorder="1" applyAlignment="1">
      <alignment horizontal="center"/>
    </xf>
    <xf numFmtId="1" fontId="2" fillId="4" borderId="0" xfId="0" quotePrefix="1" applyNumberFormat="1" applyFont="1" applyFill="1" applyAlignment="1">
      <alignment horizontal="center"/>
    </xf>
    <xf numFmtId="0" fontId="20" fillId="0" borderId="0" xfId="0" applyFont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7" borderId="9" xfId="0" quotePrefix="1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</cellXfs>
  <cellStyles count="3">
    <cellStyle name="Procent" xfId="2" builtinId="5"/>
    <cellStyle name="Procent 2" xfId="1" xr:uid="{00000000-0005-0000-0000-000000000000}"/>
    <cellStyle name="Standaard" xfId="0" builtinId="0"/>
  </cellStyles>
  <dxfs count="8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7252232559387"/>
          <c:y val="4.8429719080525915E-2"/>
          <c:w val="0.80466524835348541"/>
          <c:h val="0.745605054353795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'655584 varkensnier'!$I$22:$I$30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0.0">
                  <c:v>1500</c:v>
                </c:pt>
                <c:pt idx="4" formatCode="0.0">
                  <c:v>3000</c:v>
                </c:pt>
                <c:pt idx="5" formatCode="0.0">
                  <c:v>6000</c:v>
                </c:pt>
                <c:pt idx="6" formatCode="0.0">
                  <c:v>15000</c:v>
                </c:pt>
              </c:numCache>
            </c:numRef>
          </c:xVal>
          <c:yVal>
            <c:numRef>
              <c:f>'655584 varkensnier'!$L$22:$L$30</c:f>
              <c:numCache>
                <c:formatCode>0.000</c:formatCode>
                <c:ptCount val="9"/>
                <c:pt idx="0">
                  <c:v>6.8297455968688849</c:v>
                </c:pt>
                <c:pt idx="1">
                  <c:v>6.4766550522648085</c:v>
                </c:pt>
                <c:pt idx="2">
                  <c:v>0</c:v>
                </c:pt>
                <c:pt idx="3">
                  <c:v>9.1294642857142865</c:v>
                </c:pt>
                <c:pt idx="4">
                  <c:v>10.210755813953488</c:v>
                </c:pt>
                <c:pt idx="5">
                  <c:v>16.401944894651539</c:v>
                </c:pt>
                <c:pt idx="6">
                  <c:v>31.345202769535113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64-45B6-91CD-290CE0A0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36424"/>
        <c:axId val="686748360"/>
      </c:scatterChart>
      <c:valAx>
        <c:axId val="688536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6748360"/>
        <c:crosses val="autoZero"/>
        <c:crossBetween val="midCat"/>
      </c:valAx>
      <c:valAx>
        <c:axId val="686748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853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'659592 varkensvlees'!$I$22:$I$30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0.0">
                  <c:v>150</c:v>
                </c:pt>
                <c:pt idx="4" formatCode="0.0">
                  <c:v>300</c:v>
                </c:pt>
                <c:pt idx="5" formatCode="0.0">
                  <c:v>600</c:v>
                </c:pt>
                <c:pt idx="6" formatCode="0.0">
                  <c:v>1500</c:v>
                </c:pt>
              </c:numCache>
            </c:numRef>
          </c:cat>
          <c:val>
            <c:numRef>
              <c:f>'659592 varkensvlees'!$M$22:$M$30</c:f>
              <c:numCache>
                <c:formatCode>0.0%</c:formatCode>
                <c:ptCount val="9"/>
                <c:pt idx="0">
                  <c:v>0.66994106090373284</c:v>
                </c:pt>
                <c:pt idx="1">
                  <c:v>0.7283621837549934</c:v>
                </c:pt>
                <c:pt idx="2">
                  <c:v>0</c:v>
                </c:pt>
                <c:pt idx="3">
                  <c:v>0.75032981530343013</c:v>
                </c:pt>
                <c:pt idx="4">
                  <c:v>0.75967470555243966</c:v>
                </c:pt>
                <c:pt idx="5">
                  <c:v>0.73115629492708978</c:v>
                </c:pt>
                <c:pt idx="6">
                  <c:v>0.76048551856747992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4-4602-948F-C819EBC5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7252232559387"/>
          <c:y val="4.8429719080525915E-2"/>
          <c:w val="0.80466524835348541"/>
          <c:h val="0.745605054353795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'658830 kalfsnier'!$I$22:$I$30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.0">
                  <c:v>750</c:v>
                </c:pt>
                <c:pt idx="3" formatCode="0.0">
                  <c:v>1500</c:v>
                </c:pt>
                <c:pt idx="4" formatCode="0.0">
                  <c:v>3000</c:v>
                </c:pt>
              </c:numCache>
            </c:numRef>
          </c:xVal>
          <c:yVal>
            <c:numRef>
              <c:f>'658830 kalfsnier'!$L$22:$L$30</c:f>
              <c:numCache>
                <c:formatCode>0.000</c:formatCode>
                <c:ptCount val="9"/>
                <c:pt idx="0">
                  <c:v>1.7062062062062062</c:v>
                </c:pt>
                <c:pt idx="1">
                  <c:v>2.0073404856013553</c:v>
                </c:pt>
                <c:pt idx="2">
                  <c:v>2.7803963577932511</c:v>
                </c:pt>
                <c:pt idx="3">
                  <c:v>4.2295454545454545</c:v>
                </c:pt>
                <c:pt idx="4">
                  <c:v>6.5750915750915748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4-4EAA-9EBA-0D554602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36424"/>
        <c:axId val="686748360"/>
      </c:scatterChart>
      <c:valAx>
        <c:axId val="688536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6748360"/>
        <c:crosses val="autoZero"/>
        <c:crossBetween val="midCat"/>
      </c:valAx>
      <c:valAx>
        <c:axId val="686748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853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'658830 kalfsnier'!$I$22:$I$30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.0">
                  <c:v>750</c:v>
                </c:pt>
                <c:pt idx="3" formatCode="0.0">
                  <c:v>1500</c:v>
                </c:pt>
                <c:pt idx="4" formatCode="0.0">
                  <c:v>3000</c:v>
                </c:pt>
              </c:numCache>
            </c:numRef>
          </c:cat>
          <c:val>
            <c:numRef>
              <c:f>'658830 kalfsnier'!$M$22:$M$30</c:f>
              <c:numCache>
                <c:formatCode>0.0%</c:formatCode>
                <c:ptCount val="9"/>
                <c:pt idx="0">
                  <c:v>0.75300674684658253</c:v>
                </c:pt>
                <c:pt idx="1">
                  <c:v>0.70520393811533055</c:v>
                </c:pt>
                <c:pt idx="2">
                  <c:v>0.7875168560970911</c:v>
                </c:pt>
                <c:pt idx="3">
                  <c:v>0.75523911875335836</c:v>
                </c:pt>
                <c:pt idx="4">
                  <c:v>0.75951717734447544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3-4F2F-A3BE-4E480F87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7252232559387"/>
          <c:y val="4.8429719080525915E-2"/>
          <c:w val="0.80466524835348541"/>
          <c:h val="0.745605054353795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'658834 kalfsvlees'!$I$22:$I$30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.0">
                  <c:v>75</c:v>
                </c:pt>
                <c:pt idx="3" formatCode="0.0">
                  <c:v>150</c:v>
                </c:pt>
                <c:pt idx="4" formatCode="0.0">
                  <c:v>300</c:v>
                </c:pt>
              </c:numCache>
            </c:numRef>
          </c:xVal>
          <c:yVal>
            <c:numRef>
              <c:f>'658834 kalfsvlees'!$L$22:$L$30</c:f>
              <c:numCache>
                <c:formatCode>0.000</c:formatCode>
                <c:ptCount val="9"/>
                <c:pt idx="0">
                  <c:v>1.0319584812892653</c:v>
                </c:pt>
                <c:pt idx="1">
                  <c:v>0.9972179289026275</c:v>
                </c:pt>
                <c:pt idx="2">
                  <c:v>2.0424921045076085</c:v>
                </c:pt>
                <c:pt idx="3">
                  <c:v>3.2102022867194373</c:v>
                </c:pt>
                <c:pt idx="4">
                  <c:v>5.4228058936579115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9-464E-B8F6-A02ADF90C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36424"/>
        <c:axId val="686748360"/>
      </c:scatterChart>
      <c:valAx>
        <c:axId val="688536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6748360"/>
        <c:crosses val="autoZero"/>
        <c:crossBetween val="midCat"/>
      </c:valAx>
      <c:valAx>
        <c:axId val="686748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853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'658834 kalfsvlees'!$I$22:$I$30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.0">
                  <c:v>75</c:v>
                </c:pt>
                <c:pt idx="3" formatCode="0.0">
                  <c:v>150</c:v>
                </c:pt>
                <c:pt idx="4" formatCode="0.0">
                  <c:v>300</c:v>
                </c:pt>
              </c:numCache>
            </c:numRef>
          </c:cat>
          <c:val>
            <c:numRef>
              <c:f>'658834 kalfsvlees'!$M$22:$M$30</c:f>
              <c:numCache>
                <c:formatCode>0.0%</c:formatCode>
                <c:ptCount val="9"/>
                <c:pt idx="0">
                  <c:v>0.72022233986236106</c:v>
                </c:pt>
                <c:pt idx="1">
                  <c:v>0.75635461872287668</c:v>
                </c:pt>
                <c:pt idx="2">
                  <c:v>0.7369974697779027</c:v>
                </c:pt>
                <c:pt idx="3">
                  <c:v>0.7606392694063927</c:v>
                </c:pt>
                <c:pt idx="4">
                  <c:v>0.75841701122268168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8-47F3-A6FE-B35EEC6F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'655584 varkensnier'!$I$22:$I$30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0.0">
                  <c:v>1500</c:v>
                </c:pt>
                <c:pt idx="4" formatCode="0.0">
                  <c:v>3000</c:v>
                </c:pt>
                <c:pt idx="5" formatCode="0.0">
                  <c:v>6000</c:v>
                </c:pt>
                <c:pt idx="6" formatCode="0.0">
                  <c:v>15000</c:v>
                </c:pt>
              </c:numCache>
            </c:numRef>
          </c:cat>
          <c:val>
            <c:numRef>
              <c:f>'655584 varkensnier'!$M$22:$M$30</c:f>
              <c:numCache>
                <c:formatCode>0.0%</c:formatCode>
                <c:ptCount val="9"/>
                <c:pt idx="0">
                  <c:v>0.74660936007640877</c:v>
                </c:pt>
                <c:pt idx="1">
                  <c:v>0.76178179470626206</c:v>
                </c:pt>
                <c:pt idx="2">
                  <c:v>0</c:v>
                </c:pt>
                <c:pt idx="3">
                  <c:v>0.75110024449877755</c:v>
                </c:pt>
                <c:pt idx="4">
                  <c:v>0.79644128113878998</c:v>
                </c:pt>
                <c:pt idx="5">
                  <c:v>0.74604743083003955</c:v>
                </c:pt>
                <c:pt idx="6">
                  <c:v>0.68570526980119917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EBE-BCA9-2AD8A159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example!$I$22:$I$30</c:f>
              <c:strCache>
                <c:ptCount val="5"/>
                <c:pt idx="0">
                  <c:v>0.0</c:v>
                </c:pt>
                <c:pt idx="1">
                  <c:v>300.0</c:v>
                </c:pt>
                <c:pt idx="2">
                  <c:v>600.0</c:v>
                </c:pt>
                <c:pt idx="3">
                  <c:v>1500.0</c:v>
                </c:pt>
                <c:pt idx="4">
                  <c:v>3000.0</c:v>
                </c:pt>
              </c:strCache>
            </c:strRef>
          </c:cat>
          <c:val>
            <c:numRef>
              <c:f>example!$M$22:$M$30</c:f>
              <c:numCache>
                <c:formatCode>0.0%</c:formatCode>
                <c:ptCount val="9"/>
                <c:pt idx="0">
                  <c:v>0.7646206771682057</c:v>
                </c:pt>
                <c:pt idx="1">
                  <c:v>0.76585151559525555</c:v>
                </c:pt>
                <c:pt idx="2">
                  <c:v>0.76833194229164181</c:v>
                </c:pt>
                <c:pt idx="3">
                  <c:v>0.75767857142857142</c:v>
                </c:pt>
                <c:pt idx="4">
                  <c:v>0.72050473186119879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0-4D06-9D1D-F2D716EC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example!$B$57:$B$65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1500</c:v>
                </c:pt>
                <c:pt idx="4">
                  <c:v>3000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example!$C$57:$C$65</c:f>
              <c:numCache>
                <c:formatCode>0.000</c:formatCode>
                <c:ptCount val="9"/>
                <c:pt idx="0">
                  <c:v>16.516148325358852</c:v>
                </c:pt>
                <c:pt idx="1">
                  <c:v>22.710342534087129</c:v>
                </c:pt>
                <c:pt idx="2">
                  <c:v>27.426422498364943</c:v>
                </c:pt>
                <c:pt idx="3">
                  <c:v>41.837878221890179</c:v>
                </c:pt>
                <c:pt idx="4">
                  <c:v>60.519282168766708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BA-4FE8-9F80-37ED80722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982680"/>
        <c:axId val="1152974480"/>
      </c:scatterChart>
      <c:valAx>
        <c:axId val="115298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74480"/>
        <c:crosses val="autoZero"/>
        <c:crossBetween val="midCat"/>
      </c:valAx>
      <c:valAx>
        <c:axId val="1152974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82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'MRL revised'!$I$22:$I$30</c:f>
            </c:multiLvlStrRef>
          </c:cat>
          <c:val>
            <c:numRef>
              <c:f>'MRL revised'!$M$22:$M$30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E-4BB3-B313-E53805DD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'MRL revised'!$B$57:$B$65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'MRL revised'!$C$57:$C$65</c:f>
              <c:numCache>
                <c:formatCode>0.000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0D-4179-AB02-7BBDCBEF0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982680"/>
        <c:axId val="1152974480"/>
      </c:scatterChart>
      <c:valAx>
        <c:axId val="115298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74480"/>
        <c:crosses val="autoZero"/>
        <c:crossBetween val="midCat"/>
      </c:valAx>
      <c:valAx>
        <c:axId val="1152974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82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Ionratio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'prohibited revised'!$I$22:$I$30</c:f>
            </c:multiLvlStrRef>
          </c:cat>
          <c:val>
            <c:numRef>
              <c:f>'prohibited revised'!$M$22:$M$30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1-4498-A0BB-E39127C5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81168"/>
        <c:axId val="336134328"/>
      </c:barChart>
      <c:catAx>
        <c:axId val="4627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6134328"/>
        <c:crosses val="autoZero"/>
        <c:auto val="1"/>
        <c:lblAlgn val="ctr"/>
        <c:lblOffset val="100"/>
        <c:noMultiLvlLbl val="0"/>
      </c:catAx>
      <c:valAx>
        <c:axId val="3361343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278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'prohibited revised'!$B$57:$B$65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'prohibited revised'!$C$57:$C$65</c:f>
              <c:numCache>
                <c:formatCode>0.000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2-48E3-B58E-C55C017D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982680"/>
        <c:axId val="1152974480"/>
      </c:scatterChart>
      <c:valAx>
        <c:axId val="115298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74480"/>
        <c:crosses val="autoZero"/>
        <c:crossBetween val="midCat"/>
      </c:valAx>
      <c:valAx>
        <c:axId val="1152974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2982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7252232559387"/>
          <c:y val="4.8429719080525915E-2"/>
          <c:w val="0.80466524835348541"/>
          <c:h val="0.745605054353795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'659592 varkensvlees'!$I$22:$I$30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0.0">
                  <c:v>150</c:v>
                </c:pt>
                <c:pt idx="4" formatCode="0.0">
                  <c:v>300</c:v>
                </c:pt>
                <c:pt idx="5" formatCode="0.0">
                  <c:v>600</c:v>
                </c:pt>
                <c:pt idx="6" formatCode="0.0">
                  <c:v>1500</c:v>
                </c:pt>
              </c:numCache>
            </c:numRef>
          </c:xVal>
          <c:yVal>
            <c:numRef>
              <c:f>'659592 varkensvlees'!$L$22:$L$30</c:f>
              <c:numCache>
                <c:formatCode>0.000</c:formatCode>
                <c:ptCount val="9"/>
                <c:pt idx="0">
                  <c:v>7.5429756965026673</c:v>
                </c:pt>
                <c:pt idx="1">
                  <c:v>6.6558345642540617</c:v>
                </c:pt>
                <c:pt idx="2">
                  <c:v>0</c:v>
                </c:pt>
                <c:pt idx="3">
                  <c:v>10.484094052558783</c:v>
                </c:pt>
                <c:pt idx="4">
                  <c:v>10.770160072485654</c:v>
                </c:pt>
                <c:pt idx="5">
                  <c:v>16.760757314974182</c:v>
                </c:pt>
                <c:pt idx="6">
                  <c:v>31.281954887218046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A6-45E9-B463-35F42DC14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36424"/>
        <c:axId val="686748360"/>
      </c:scatterChart>
      <c:valAx>
        <c:axId val="688536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6748360"/>
        <c:crosses val="autoZero"/>
        <c:crossBetween val="midCat"/>
      </c:valAx>
      <c:valAx>
        <c:axId val="686748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8853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83128</xdr:colOff>
      <xdr:row>31</xdr:row>
      <xdr:rowOff>103911</xdr:rowOff>
    </xdr:from>
    <xdr:to>
      <xdr:col>18</xdr:col>
      <xdr:colOff>692729</xdr:colOff>
      <xdr:row>48</xdr:row>
      <xdr:rowOff>124690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6AD823B-EEF6-4CC2-8DCB-E9B9DC50F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1000124</xdr:colOff>
      <xdr:row>32</xdr:row>
      <xdr:rowOff>122464</xdr:rowOff>
    </xdr:from>
    <xdr:to>
      <xdr:col>17</xdr:col>
      <xdr:colOff>802822</xdr:colOff>
      <xdr:row>47</xdr:row>
      <xdr:rowOff>78922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C6D53D8-9663-46F5-B63B-032906D21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299357</xdr:colOff>
      <xdr:row>23</xdr:row>
      <xdr:rowOff>0</xdr:rowOff>
    </xdr:from>
    <xdr:to>
      <xdr:col>26</xdr:col>
      <xdr:colOff>299357</xdr:colOff>
      <xdr:row>28</xdr:row>
      <xdr:rowOff>81643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B1666093-C8B5-443F-B339-AA759BFB93D8}"/>
            </a:ext>
          </a:extLst>
        </xdr:cNvPr>
        <xdr:cNvCxnSpPr/>
      </xdr:nvCxnSpPr>
      <xdr:spPr>
        <a:xfrm flipV="1">
          <a:off x="30655532" y="4810125"/>
          <a:ext cx="0" cy="10341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0</xdr:colOff>
      <xdr:row>29</xdr:row>
      <xdr:rowOff>0</xdr:rowOff>
    </xdr:from>
    <xdr:to>
      <xdr:col>29</xdr:col>
      <xdr:colOff>277976</xdr:colOff>
      <xdr:row>33</xdr:row>
      <xdr:rowOff>98201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659D0028-1056-459E-91C0-CD6BCCC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56175" y="5953125"/>
          <a:ext cx="2316326" cy="865644"/>
        </a:xfrm>
        <a:prstGeom prst="rect">
          <a:avLst/>
        </a:prstGeom>
      </xdr:spPr>
    </xdr:pic>
    <xdr:clientData/>
  </xdr:twoCellAnchor>
  <xdr:twoCellAnchor>
    <xdr:from>
      <xdr:col>28</xdr:col>
      <xdr:colOff>217714</xdr:colOff>
      <xdr:row>21</xdr:row>
      <xdr:rowOff>0</xdr:rowOff>
    </xdr:from>
    <xdr:to>
      <xdr:col>31</xdr:col>
      <xdr:colOff>136071</xdr:colOff>
      <xdr:row>21</xdr:row>
      <xdr:rowOff>13607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87A8C4F6-F9B8-4422-AE7B-0E3604D084A5}"/>
            </a:ext>
          </a:extLst>
        </xdr:cNvPr>
        <xdr:cNvCxnSpPr/>
      </xdr:nvCxnSpPr>
      <xdr:spPr>
        <a:xfrm flipH="1">
          <a:off x="32002639" y="4429125"/>
          <a:ext cx="1747157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0</xdr:colOff>
      <xdr:row>19</xdr:row>
      <xdr:rowOff>0</xdr:rowOff>
    </xdr:from>
    <xdr:to>
      <xdr:col>37</xdr:col>
      <xdr:colOff>162201</xdr:colOff>
      <xdr:row>23</xdr:row>
      <xdr:rowOff>139011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04FDEBB2-F169-4B35-A8D8-A5567280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23325" y="3981450"/>
          <a:ext cx="3210200" cy="967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68953DF-29A2-474D-898C-0E3C5B8FA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1000124</xdr:colOff>
      <xdr:row>32</xdr:row>
      <xdr:rowOff>122464</xdr:rowOff>
    </xdr:from>
    <xdr:to>
      <xdr:col>17</xdr:col>
      <xdr:colOff>802822</xdr:colOff>
      <xdr:row>47</xdr:row>
      <xdr:rowOff>78922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62DA75FA-6137-452C-86D7-E6A7663F9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299357</xdr:colOff>
      <xdr:row>23</xdr:row>
      <xdr:rowOff>0</xdr:rowOff>
    </xdr:from>
    <xdr:to>
      <xdr:col>26</xdr:col>
      <xdr:colOff>299357</xdr:colOff>
      <xdr:row>28</xdr:row>
      <xdr:rowOff>81643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A801877C-EE52-48F9-AA2B-1957104863F1}"/>
            </a:ext>
          </a:extLst>
        </xdr:cNvPr>
        <xdr:cNvCxnSpPr/>
      </xdr:nvCxnSpPr>
      <xdr:spPr>
        <a:xfrm flipV="1">
          <a:off x="30656893" y="4803321"/>
          <a:ext cx="0" cy="10341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0</xdr:colOff>
      <xdr:row>29</xdr:row>
      <xdr:rowOff>0</xdr:rowOff>
    </xdr:from>
    <xdr:to>
      <xdr:col>29</xdr:col>
      <xdr:colOff>264368</xdr:colOff>
      <xdr:row>33</xdr:row>
      <xdr:rowOff>84594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EF97C9F4-EA9F-43DC-A81E-F675601C4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57536" y="5946321"/>
          <a:ext cx="2319047" cy="873808"/>
        </a:xfrm>
        <a:prstGeom prst="rect">
          <a:avLst/>
        </a:prstGeom>
      </xdr:spPr>
    </xdr:pic>
    <xdr:clientData/>
  </xdr:twoCellAnchor>
  <xdr:twoCellAnchor>
    <xdr:from>
      <xdr:col>28</xdr:col>
      <xdr:colOff>217714</xdr:colOff>
      <xdr:row>21</xdr:row>
      <xdr:rowOff>0</xdr:rowOff>
    </xdr:from>
    <xdr:to>
      <xdr:col>31</xdr:col>
      <xdr:colOff>136071</xdr:colOff>
      <xdr:row>21</xdr:row>
      <xdr:rowOff>13607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0438E8C6-EC6E-4E2E-94A5-055BE343CC1F}"/>
            </a:ext>
          </a:extLst>
        </xdr:cNvPr>
        <xdr:cNvCxnSpPr/>
      </xdr:nvCxnSpPr>
      <xdr:spPr>
        <a:xfrm flipH="1">
          <a:off x="32004000" y="4463143"/>
          <a:ext cx="1755321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0</xdr:colOff>
      <xdr:row>19</xdr:row>
      <xdr:rowOff>0</xdr:rowOff>
    </xdr:from>
    <xdr:to>
      <xdr:col>37</xdr:col>
      <xdr:colOff>162201</xdr:colOff>
      <xdr:row>23</xdr:row>
      <xdr:rowOff>139011</xdr:rowOff>
    </xdr:to>
    <xdr:pic>
      <xdr:nvPicPr>
        <xdr:cNvPr id="9" name="Image 2">
          <a:extLst>
            <a:ext uri="{FF2B5EF4-FFF2-40B4-BE49-F238E27FC236}">
              <a16:creationId xmlns:a16="http://schemas.microsoft.com/office/drawing/2014/main" id="{C73EF855-77D8-4683-A50D-CD4BDCBB2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35571" y="4014107"/>
          <a:ext cx="3223808" cy="969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C54BAC2-4C15-4D9D-A2A9-05B6653FF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33</xdr:row>
      <xdr:rowOff>0</xdr:rowOff>
    </xdr:from>
    <xdr:to>
      <xdr:col>19</xdr:col>
      <xdr:colOff>61234</xdr:colOff>
      <xdr:row>47</xdr:row>
      <xdr:rowOff>146958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20AE634B-BFDE-48E6-B2C2-8C1594AC3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83128</xdr:colOff>
      <xdr:row>31</xdr:row>
      <xdr:rowOff>103911</xdr:rowOff>
    </xdr:from>
    <xdr:to>
      <xdr:col>18</xdr:col>
      <xdr:colOff>692729</xdr:colOff>
      <xdr:row>48</xdr:row>
      <xdr:rowOff>124690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878CDB8-90AD-4449-A1E0-DEF78960F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EC38B51-1854-4668-A3AA-1F1421A7E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83128</xdr:colOff>
      <xdr:row>31</xdr:row>
      <xdr:rowOff>103911</xdr:rowOff>
    </xdr:from>
    <xdr:to>
      <xdr:col>18</xdr:col>
      <xdr:colOff>692729</xdr:colOff>
      <xdr:row>48</xdr:row>
      <xdr:rowOff>124690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E1F646D-80F4-4854-9FF0-159621021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56E4B11-683B-4141-BAF7-32AD3F46D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83128</xdr:colOff>
      <xdr:row>31</xdr:row>
      <xdr:rowOff>103911</xdr:rowOff>
    </xdr:from>
    <xdr:to>
      <xdr:col>18</xdr:col>
      <xdr:colOff>692729</xdr:colOff>
      <xdr:row>48</xdr:row>
      <xdr:rowOff>124690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3C8E62E-890A-4B39-97DD-BB824063D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1122218</xdr:colOff>
      <xdr:row>36</xdr:row>
      <xdr:rowOff>62345</xdr:rowOff>
    </xdr:from>
    <xdr:to>
      <xdr:col>23</xdr:col>
      <xdr:colOff>581891</xdr:colOff>
      <xdr:row>51</xdr:row>
      <xdr:rowOff>20782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1964B6E-D44E-496E-B6BC-B89C48438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5</xdr:row>
      <xdr:rowOff>85725</xdr:rowOff>
    </xdr:from>
    <xdr:to>
      <xdr:col>21</xdr:col>
      <xdr:colOff>352425</xdr:colOff>
      <xdr:row>25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EBDB045-1341-41F5-A1F8-B41F1E1E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38225"/>
          <a:ext cx="712470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topLeftCell="A10" zoomScale="70" zoomScaleNormal="70" zoomScaleSheetLayoutView="70" zoomScalePageLayoutView="40" workbookViewId="0">
      <selection activeCell="H44" sqref="H44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18.85546875" style="3" customWidth="1"/>
    <col min="22" max="22" width="21.28515625" style="3" customWidth="1"/>
    <col min="23" max="23" width="17.5703125" style="3" customWidth="1"/>
    <col min="24" max="24" width="16.28515625" style="3" bestFit="1" customWidth="1"/>
    <col min="25" max="27" width="9.140625" style="3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 t="s">
        <v>0</v>
      </c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</v>
      </c>
      <c r="C3" s="1"/>
      <c r="D3" s="1"/>
      <c r="F3" s="1"/>
      <c r="G3" s="1"/>
      <c r="H3" s="1"/>
      <c r="I3" s="1"/>
      <c r="J3" s="1"/>
      <c r="K3" s="1"/>
      <c r="U3" s="3" t="s">
        <v>2</v>
      </c>
    </row>
    <row r="4" spans="1:21" x14ac:dyDescent="0.2">
      <c r="A4" s="1"/>
      <c r="E4" s="1"/>
      <c r="F4" s="1"/>
      <c r="G4" s="1"/>
      <c r="H4" s="1"/>
      <c r="I4" s="1"/>
      <c r="J4" s="1"/>
      <c r="K4" s="1"/>
      <c r="U4" s="3" t="s">
        <v>3</v>
      </c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>
        <v>44655</v>
      </c>
      <c r="D6" s="1"/>
      <c r="E6" s="1"/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 t="s">
        <v>6</v>
      </c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>
        <v>3125</v>
      </c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 t="s">
        <v>9</v>
      </c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10</v>
      </c>
      <c r="C10" s="9">
        <v>8000</v>
      </c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 t="s">
        <v>14</v>
      </c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15</v>
      </c>
      <c r="C18" s="175">
        <v>200655584</v>
      </c>
      <c r="D18" s="176"/>
      <c r="E18" s="1"/>
      <c r="G18" s="1"/>
      <c r="H18" s="1"/>
      <c r="I18" s="1" t="s">
        <v>16</v>
      </c>
      <c r="L18" s="1"/>
      <c r="M18" s="1"/>
      <c r="N18" s="1"/>
      <c r="O18" s="1"/>
    </row>
    <row r="19" spans="1:30" ht="21" x14ac:dyDescent="0.35">
      <c r="A19" s="1"/>
      <c r="I19" s="95" t="s">
        <v>17</v>
      </c>
    </row>
    <row r="20" spans="1:30" ht="15.75" x14ac:dyDescent="0.25">
      <c r="B20" s="41" t="s">
        <v>18</v>
      </c>
      <c r="C20" s="177" t="s">
        <v>19</v>
      </c>
      <c r="D20" s="179" t="s">
        <v>20</v>
      </c>
      <c r="E20" s="179" t="s">
        <v>21</v>
      </c>
      <c r="F20" s="177" t="s">
        <v>22</v>
      </c>
      <c r="G20" s="181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42" t="s">
        <v>29</v>
      </c>
      <c r="P20" s="43"/>
      <c r="R20" s="7"/>
      <c r="S20" s="11" t="s">
        <v>30</v>
      </c>
    </row>
    <row r="21" spans="1:30" x14ac:dyDescent="0.2">
      <c r="B21" s="44" t="str">
        <f>+"("&amp;$C$11&amp;")"</f>
        <v>(ug/kg)</v>
      </c>
      <c r="C21" s="178"/>
      <c r="D21" s="180"/>
      <c r="E21" s="180"/>
      <c r="F21" s="178"/>
      <c r="G21" s="182"/>
      <c r="I21" s="23" t="str">
        <f>+"("&amp;$C$11&amp;")"</f>
        <v>(ug/kg)</v>
      </c>
      <c r="J21" s="178"/>
      <c r="K21" s="45" t="s">
        <v>31</v>
      </c>
      <c r="L21" s="178"/>
      <c r="M21" s="184"/>
      <c r="N21" s="46" t="s">
        <v>31</v>
      </c>
      <c r="O21" s="45" t="s">
        <v>32</v>
      </c>
      <c r="P21" s="47" t="s">
        <v>33</v>
      </c>
      <c r="R21" s="7"/>
      <c r="S21" s="47"/>
      <c r="U21" s="48" t="s">
        <v>34</v>
      </c>
      <c r="V21" s="48" t="s">
        <v>35</v>
      </c>
      <c r="W21" s="3" t="s">
        <v>36</v>
      </c>
      <c r="X21" s="3" t="s">
        <v>37</v>
      </c>
      <c r="Y21" s="3" t="s">
        <v>38</v>
      </c>
      <c r="Z21" s="3" t="s">
        <v>39</v>
      </c>
      <c r="AA21" s="3" t="s">
        <v>40</v>
      </c>
      <c r="AB21" s="3" t="s">
        <v>41</v>
      </c>
      <c r="AC21" s="3" t="s">
        <v>42</v>
      </c>
      <c r="AD21" s="3" t="s">
        <v>43</v>
      </c>
    </row>
    <row r="22" spans="1:30" x14ac:dyDescent="0.2">
      <c r="B22" s="49">
        <v>0</v>
      </c>
      <c r="C22" s="14">
        <v>4.13</v>
      </c>
      <c r="D22" s="50">
        <v>104700000</v>
      </c>
      <c r="E22" s="15">
        <v>78170000</v>
      </c>
      <c r="F22" s="14">
        <v>4.12</v>
      </c>
      <c r="G22" s="16">
        <v>15330000</v>
      </c>
      <c r="I22" s="49">
        <f>+B22</f>
        <v>0</v>
      </c>
      <c r="J22" s="51">
        <f t="shared" ref="J22:J30" si="0">+IF(B22="","",(IF(F22="","",(C22/F22))))</f>
        <v>1.0024271844660193</v>
      </c>
      <c r="K22" s="52">
        <f t="shared" ref="K22:K30" si="1">+IF(J22="","",((((J22-(AVERAGE(J$24:J$30)))/(AVERAGE(J$24:J$30))))))</f>
        <v>4.0174407660088535E-4</v>
      </c>
      <c r="L22" s="12">
        <f t="shared" ref="L22:L23" si="2">+IF(B22="","",(IF(G22="","",IF(I22="","",((D22)/(G22))))))</f>
        <v>6.8297455968688849</v>
      </c>
      <c r="M22" s="13">
        <f>IF(I22="","",IF(OR(B22="",E22="",G22=""),"",E22/D22))</f>
        <v>0.74660936007640877</v>
      </c>
      <c r="N22" s="53">
        <f t="shared" ref="N22:N30" si="3">+IF(M22="","",((((M22-(AVERAGE(M$24:M$30))))/(AVERAGE(M$24:M$30)))))</f>
        <v>2.3976195348033181E-3</v>
      </c>
      <c r="O22" s="54"/>
      <c r="P22" s="11"/>
      <c r="R22" s="19" t="s">
        <v>44</v>
      </c>
      <c r="S22" s="20">
        <f>IF(COUNT(L22:L30)&gt;0,SLOPE(L22:L30,I22:I30),"")</f>
        <v>1.6551802228904242E-3</v>
      </c>
      <c r="U22" s="48">
        <f t="shared" ref="U22:U30" si="4">IF(N22="","",(ABS(N22)))</f>
        <v>2.3976195348033181E-3</v>
      </c>
      <c r="V22" s="48">
        <f t="shared" ref="V22:V30" si="5">IF(K22="","",(ABS(K22)))</f>
        <v>4.0174407660088535E-4</v>
      </c>
      <c r="W22" s="3">
        <f>IF(I22="","",+$S$22*I22+$S$23)</f>
        <v>6.3644454548803839</v>
      </c>
      <c r="X22" s="3">
        <f>IF(I22="","",(L22-W22)^2)</f>
        <v>0.2165042221345192</v>
      </c>
      <c r="Y22" s="3">
        <f>IF(I22="","",(I22-AVERAGE($I$22:$I$30))^2)</f>
        <v>18062500</v>
      </c>
      <c r="Z22" s="92">
        <f>+AVERAGE(L22:L30)</f>
        <v>13.398961402164687</v>
      </c>
      <c r="AA22" s="3">
        <f>+SQRT(X32/(COUNT(I22:I30)-2))</f>
        <v>0.63170132306200311</v>
      </c>
      <c r="AB22" s="91">
        <f>(AA22/S22)*SQRT(1/(COUNT(I22:I30))+((Z22^2)/(S22^2*Y32)))</f>
        <v>287.26824880611053</v>
      </c>
      <c r="AC22" s="3">
        <f>+_xlfn.T.INV(0.95,(COUNT(I22:I30)-2))</f>
        <v>2.131846786326649</v>
      </c>
      <c r="AD22" s="3">
        <f>+AC22*AB22</f>
        <v>612.411893030991</v>
      </c>
    </row>
    <row r="23" spans="1:30" x14ac:dyDescent="0.2">
      <c r="B23" s="55">
        <v>0</v>
      </c>
      <c r="C23" s="14">
        <v>4.12</v>
      </c>
      <c r="D23" s="50">
        <v>92940000</v>
      </c>
      <c r="E23" s="15">
        <v>70800000</v>
      </c>
      <c r="F23" s="14">
        <v>4.1100000000000003</v>
      </c>
      <c r="G23" s="16">
        <v>14350000</v>
      </c>
      <c r="I23" s="55">
        <f t="shared" ref="I23" si="6">+B23</f>
        <v>0</v>
      </c>
      <c r="J23" s="56">
        <f t="shared" si="0"/>
        <v>1.0024330900243308</v>
      </c>
      <c r="K23" s="52">
        <f t="shared" si="1"/>
        <v>4.0763770251816194E-4</v>
      </c>
      <c r="L23" s="17">
        <f t="shared" si="2"/>
        <v>6.4766550522648085</v>
      </c>
      <c r="M23" s="18">
        <f t="shared" ref="M23:M30" si="7">IF(I23="","",IF(OR(B23="",E23="",G23=""),"",E23/D23))</f>
        <v>0.76178179470626206</v>
      </c>
      <c r="N23" s="53">
        <f t="shared" si="3"/>
        <v>2.2768128088239976E-2</v>
      </c>
      <c r="O23" s="54"/>
      <c r="P23" s="57"/>
      <c r="R23" s="21" t="s">
        <v>45</v>
      </c>
      <c r="S23" s="22">
        <f>IF(S22="","",INTERCEPT(L22:L30,I22:I30))</f>
        <v>6.3644454548803839</v>
      </c>
      <c r="U23" s="48">
        <f t="shared" si="4"/>
        <v>2.2768128088239976E-2</v>
      </c>
      <c r="V23" s="48">
        <f t="shared" si="5"/>
        <v>4.0763770251816194E-4</v>
      </c>
      <c r="W23" s="3">
        <f t="shared" ref="W23:W30" si="8">IF(I23="","",+$S$22*I23+$S$23)</f>
        <v>6.3644454548803839</v>
      </c>
      <c r="X23" s="3">
        <f t="shared" ref="X23:X30" si="9">IF(I23="","",(L23-W23)^2)</f>
        <v>1.2590993745174667E-2</v>
      </c>
      <c r="Y23" s="3">
        <f t="shared" ref="Y23:Y30" si="10">IF(I23="","",(I23-AVERAGE($I$22:$I$30))^2)</f>
        <v>18062500</v>
      </c>
    </row>
    <row r="24" spans="1:30" x14ac:dyDescent="0.2">
      <c r="B24" s="89">
        <v>750</v>
      </c>
      <c r="C24" s="14">
        <v>4.12</v>
      </c>
      <c r="D24" s="50">
        <v>108200000</v>
      </c>
      <c r="E24" s="15">
        <v>84430000</v>
      </c>
      <c r="F24" s="14">
        <v>4.1100000000000003</v>
      </c>
      <c r="G24" s="16">
        <v>14300000</v>
      </c>
      <c r="I24" s="93"/>
      <c r="J24" s="56">
        <f t="shared" si="0"/>
        <v>1.0024330900243308</v>
      </c>
      <c r="K24" s="52">
        <f t="shared" si="1"/>
        <v>4.0763770251816194E-4</v>
      </c>
      <c r="L24" s="17" t="str">
        <f>+IF(B24="","",(IF(G24="","",IF(I24="","",((D24)/(G24))))))</f>
        <v/>
      </c>
      <c r="M24" s="18" t="str">
        <f t="shared" si="7"/>
        <v/>
      </c>
      <c r="N24" s="53" t="str">
        <f t="shared" si="3"/>
        <v/>
      </c>
      <c r="O24" s="58" t="str">
        <f t="shared" ref="O24:O30" si="11">IF(L24="","",(L24-$S$23)/$S$22)</f>
        <v/>
      </c>
      <c r="P24" s="102" t="str">
        <f t="shared" ref="P24:P30" si="12">IF(O24="","",+O24/B24)</f>
        <v/>
      </c>
      <c r="R24" s="23" t="s">
        <v>46</v>
      </c>
      <c r="S24" s="24">
        <f>IF(S22="","",CORREL(L22:L30,I22:I30))</f>
        <v>0.99822705965180436</v>
      </c>
      <c r="U24" s="48" t="str">
        <f t="shared" si="4"/>
        <v/>
      </c>
      <c r="V24" s="48">
        <f t="shared" si="5"/>
        <v>4.0763770251816194E-4</v>
      </c>
      <c r="W24" s="3" t="str">
        <f t="shared" si="8"/>
        <v/>
      </c>
      <c r="X24" s="3" t="str">
        <f t="shared" si="9"/>
        <v/>
      </c>
      <c r="Y24" s="3" t="str">
        <f t="shared" si="10"/>
        <v/>
      </c>
    </row>
    <row r="25" spans="1:30" x14ac:dyDescent="0.2">
      <c r="B25" s="89">
        <v>1500</v>
      </c>
      <c r="C25" s="14">
        <v>4.12</v>
      </c>
      <c r="D25" s="50">
        <v>122700000</v>
      </c>
      <c r="E25" s="15">
        <v>92160000</v>
      </c>
      <c r="F25" s="14">
        <v>4.1100000000000003</v>
      </c>
      <c r="G25" s="16">
        <v>13440000</v>
      </c>
      <c r="I25" s="93">
        <f t="shared" ref="I25:I28" si="13">+IF(B25="","",B25)</f>
        <v>1500</v>
      </c>
      <c r="J25" s="56">
        <f t="shared" si="0"/>
        <v>1.0024330900243308</v>
      </c>
      <c r="K25" s="52">
        <f t="shared" si="1"/>
        <v>4.0763770251816194E-4</v>
      </c>
      <c r="L25" s="17">
        <f t="shared" ref="L25:L30" si="14">+IF(B25="","",(IF(G25="","",IF(I25="","",((D25)/(G25))))))</f>
        <v>9.1294642857142865</v>
      </c>
      <c r="M25" s="18">
        <f t="shared" si="7"/>
        <v>0.75110024449877755</v>
      </c>
      <c r="N25" s="53">
        <f t="shared" si="3"/>
        <v>8.4270803148391998E-3</v>
      </c>
      <c r="O25" s="58">
        <f t="shared" si="11"/>
        <v>1670.5243287678841</v>
      </c>
      <c r="P25" s="102">
        <f t="shared" si="12"/>
        <v>1.1136828858452561</v>
      </c>
      <c r="Q25" s="7"/>
      <c r="R25" s="30"/>
      <c r="U25" s="48">
        <f t="shared" si="4"/>
        <v>8.4270803148391998E-3</v>
      </c>
      <c r="V25" s="48">
        <f t="shared" si="5"/>
        <v>4.0763770251816194E-4</v>
      </c>
      <c r="W25" s="3">
        <f t="shared" si="8"/>
        <v>8.8472157892160208</v>
      </c>
      <c r="X25" s="3">
        <f t="shared" si="9"/>
        <v>7.9664213775531484E-2</v>
      </c>
      <c r="Y25" s="3">
        <f t="shared" si="10"/>
        <v>7562500</v>
      </c>
    </row>
    <row r="26" spans="1:30" x14ac:dyDescent="0.2">
      <c r="B26" s="89">
        <v>3000</v>
      </c>
      <c r="C26" s="14">
        <v>4.0999999999999996</v>
      </c>
      <c r="D26" s="50">
        <v>140500000</v>
      </c>
      <c r="E26" s="15">
        <v>111900000</v>
      </c>
      <c r="F26" s="14">
        <v>4.0999999999999996</v>
      </c>
      <c r="G26" s="16">
        <v>13760000</v>
      </c>
      <c r="I26" s="93">
        <v>3000</v>
      </c>
      <c r="J26" s="56">
        <f t="shared" si="0"/>
        <v>1</v>
      </c>
      <c r="K26" s="52">
        <f t="shared" si="1"/>
        <v>-2.0205361754004579E-3</v>
      </c>
      <c r="L26" s="17">
        <f t="shared" si="14"/>
        <v>10.210755813953488</v>
      </c>
      <c r="M26" s="18">
        <f t="shared" si="7"/>
        <v>0.79644128113878998</v>
      </c>
      <c r="N26" s="53">
        <f t="shared" si="3"/>
        <v>6.930194959124017E-2</v>
      </c>
      <c r="O26" s="58">
        <f t="shared" si="11"/>
        <v>2323.8015449195809</v>
      </c>
      <c r="P26" s="102">
        <f t="shared" si="12"/>
        <v>0.7746005149731936</v>
      </c>
      <c r="Q26" s="7"/>
      <c r="R26" s="30"/>
      <c r="U26" s="48">
        <f t="shared" si="4"/>
        <v>6.930194959124017E-2</v>
      </c>
      <c r="V26" s="48">
        <f t="shared" si="5"/>
        <v>2.0205361754004579E-3</v>
      </c>
      <c r="W26" s="3">
        <f t="shared" si="8"/>
        <v>11.329986123551656</v>
      </c>
      <c r="X26" s="3">
        <f t="shared" si="9"/>
        <v>1.2526764859232098</v>
      </c>
      <c r="Y26" s="3">
        <f t="shared" si="10"/>
        <v>1562500</v>
      </c>
    </row>
    <row r="27" spans="1:30" x14ac:dyDescent="0.2">
      <c r="B27" s="89">
        <v>6000</v>
      </c>
      <c r="C27" s="14">
        <v>4.13</v>
      </c>
      <c r="D27" s="50">
        <v>202400000</v>
      </c>
      <c r="E27" s="15">
        <v>151000000</v>
      </c>
      <c r="F27" s="14">
        <v>4.12</v>
      </c>
      <c r="G27" s="16">
        <v>12340000</v>
      </c>
      <c r="I27" s="93">
        <f t="shared" si="13"/>
        <v>6000</v>
      </c>
      <c r="J27" s="56">
        <f t="shared" si="0"/>
        <v>1.0024271844660193</v>
      </c>
      <c r="K27" s="52">
        <f t="shared" si="1"/>
        <v>4.0174407660088535E-4</v>
      </c>
      <c r="L27" s="17">
        <f t="shared" si="14"/>
        <v>16.401944894651539</v>
      </c>
      <c r="M27" s="18">
        <f t="shared" si="7"/>
        <v>0.74604743083003955</v>
      </c>
      <c r="N27" s="53">
        <f t="shared" si="3"/>
        <v>1.6431734093892926E-3</v>
      </c>
      <c r="O27" s="58">
        <f t="shared" si="11"/>
        <v>6064.2939668785875</v>
      </c>
      <c r="P27" s="102">
        <f t="shared" si="12"/>
        <v>1.0107156611464312</v>
      </c>
      <c r="Q27" s="7"/>
      <c r="R27" s="30"/>
      <c r="U27" s="48">
        <f t="shared" si="4"/>
        <v>1.6431734093892926E-3</v>
      </c>
      <c r="V27" s="48">
        <f t="shared" si="5"/>
        <v>4.0174407660088535E-4</v>
      </c>
      <c r="W27" s="3">
        <f t="shared" si="8"/>
        <v>16.29552679222293</v>
      </c>
      <c r="X27" s="3">
        <f t="shared" si="9"/>
        <v>1.1324812524505975E-2</v>
      </c>
      <c r="Y27" s="3">
        <f t="shared" si="10"/>
        <v>3062500</v>
      </c>
    </row>
    <row r="28" spans="1:30" x14ac:dyDescent="0.2">
      <c r="B28" s="89">
        <v>15000</v>
      </c>
      <c r="C28" s="14">
        <v>4.1399999999999997</v>
      </c>
      <c r="D28" s="50">
        <v>316900000</v>
      </c>
      <c r="E28" s="15">
        <v>217300000</v>
      </c>
      <c r="F28" s="14">
        <v>4.13</v>
      </c>
      <c r="G28" s="16">
        <v>10110000</v>
      </c>
      <c r="I28" s="93">
        <f t="shared" si="13"/>
        <v>15000</v>
      </c>
      <c r="J28" s="56">
        <f t="shared" si="0"/>
        <v>1.0024213075060533</v>
      </c>
      <c r="K28" s="52">
        <f t="shared" si="1"/>
        <v>3.9587899124508672E-4</v>
      </c>
      <c r="L28" s="17">
        <f t="shared" si="14"/>
        <v>31.345202769535113</v>
      </c>
      <c r="M28" s="18">
        <f t="shared" si="7"/>
        <v>0.68570526980119917</v>
      </c>
      <c r="N28" s="53">
        <f t="shared" si="3"/>
        <v>-7.9372203315468653E-2</v>
      </c>
      <c r="O28" s="58">
        <f t="shared" si="11"/>
        <v>15092.469671387864</v>
      </c>
      <c r="P28" s="102">
        <f t="shared" si="12"/>
        <v>1.006164644759191</v>
      </c>
      <c r="U28" s="48">
        <f t="shared" si="4"/>
        <v>7.9372203315468653E-2</v>
      </c>
      <c r="V28" s="48">
        <f t="shared" si="5"/>
        <v>3.9587899124508672E-4</v>
      </c>
      <c r="W28" s="3">
        <f t="shared" si="8"/>
        <v>31.192148798236751</v>
      </c>
      <c r="X28" s="3">
        <f t="shared" si="9"/>
        <v>2.3425518130199975E-2</v>
      </c>
      <c r="Y28" s="3">
        <f t="shared" si="10"/>
        <v>115562500</v>
      </c>
    </row>
    <row r="29" spans="1:30" x14ac:dyDescent="0.2">
      <c r="B29" s="89">
        <v>30000</v>
      </c>
      <c r="C29" s="14">
        <v>4.12</v>
      </c>
      <c r="D29" s="50">
        <v>528300000</v>
      </c>
      <c r="E29" s="15">
        <v>337400000</v>
      </c>
      <c r="F29" s="14">
        <v>4.1100000000000003</v>
      </c>
      <c r="G29" s="16">
        <v>8142000</v>
      </c>
      <c r="I29" s="93"/>
      <c r="J29" s="56">
        <f t="shared" si="0"/>
        <v>1.0024330900243308</v>
      </c>
      <c r="K29" s="52">
        <f t="shared" si="1"/>
        <v>4.0763770251816194E-4</v>
      </c>
      <c r="L29" s="17" t="str">
        <f t="shared" si="14"/>
        <v/>
      </c>
      <c r="M29" s="18" t="str">
        <f t="shared" si="7"/>
        <v/>
      </c>
      <c r="N29" s="53" t="str">
        <f t="shared" si="3"/>
        <v/>
      </c>
      <c r="O29" s="58" t="str">
        <f t="shared" si="11"/>
        <v/>
      </c>
      <c r="P29" s="102" t="str">
        <f t="shared" si="12"/>
        <v/>
      </c>
      <c r="U29" s="48" t="str">
        <f t="shared" si="4"/>
        <v/>
      </c>
      <c r="V29" s="48">
        <f t="shared" si="5"/>
        <v>4.0763770251816194E-4</v>
      </c>
      <c r="W29" s="3" t="str">
        <f t="shared" si="8"/>
        <v/>
      </c>
      <c r="X29" s="3" t="str">
        <f t="shared" si="9"/>
        <v/>
      </c>
      <c r="Y29" s="3" t="str">
        <f t="shared" si="10"/>
        <v/>
      </c>
    </row>
    <row r="30" spans="1:30" x14ac:dyDescent="0.2">
      <c r="B30" s="90"/>
      <c r="C30" s="25"/>
      <c r="D30" s="59"/>
      <c r="E30" s="26"/>
      <c r="F30" s="25"/>
      <c r="G30" s="27"/>
      <c r="I30" s="94"/>
      <c r="J30" s="60" t="str">
        <f t="shared" si="0"/>
        <v/>
      </c>
      <c r="K30" s="61" t="str">
        <f t="shared" si="1"/>
        <v/>
      </c>
      <c r="L30" s="28" t="str">
        <f t="shared" si="14"/>
        <v/>
      </c>
      <c r="M30" s="29" t="str">
        <f t="shared" si="7"/>
        <v/>
      </c>
      <c r="N30" s="62" t="str">
        <f t="shared" si="3"/>
        <v/>
      </c>
      <c r="O30" s="63" t="str">
        <f t="shared" si="11"/>
        <v/>
      </c>
      <c r="P30" s="103" t="str">
        <f t="shared" si="12"/>
        <v/>
      </c>
      <c r="R30" s="64"/>
      <c r="U30" s="48" t="str">
        <f t="shared" si="4"/>
        <v/>
      </c>
      <c r="V30" s="48" t="str">
        <f t="shared" si="5"/>
        <v/>
      </c>
      <c r="W30" s="3" t="str">
        <f t="shared" si="8"/>
        <v/>
      </c>
      <c r="X30" s="3" t="str">
        <f t="shared" si="9"/>
        <v/>
      </c>
      <c r="Y30" s="3" t="str">
        <f t="shared" si="10"/>
        <v/>
      </c>
    </row>
    <row r="31" spans="1:30" x14ac:dyDescent="0.2">
      <c r="B31" s="65"/>
      <c r="C31" s="66"/>
      <c r="D31" s="67"/>
      <c r="E31" s="67"/>
      <c r="F31" s="66"/>
      <c r="G31" s="67"/>
      <c r="J31" s="30"/>
      <c r="K31" s="30"/>
      <c r="L31" s="64"/>
      <c r="M31" s="64"/>
      <c r="R31" s="64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X32" s="3">
        <f>+SUM(X22:X30)</f>
        <v>1.5961862462331411</v>
      </c>
      <c r="Y32" s="3">
        <f>+SUM(Y22:Y30)</f>
        <v>163875000</v>
      </c>
    </row>
    <row r="33" spans="1:22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22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 t="str">
        <f>IF(C17="","",IF(COUNTIF(G35:G37,"NO")&gt;0,"NO",IF(COUNT(N24:N30)&lt;3,"NO","YES")))</f>
        <v>YES</v>
      </c>
      <c r="M34" s="31"/>
      <c r="N34" s="31"/>
      <c r="O34" s="31"/>
      <c r="P34" s="31"/>
      <c r="Q34" s="31"/>
      <c r="R34" s="31"/>
      <c r="S34" s="31"/>
      <c r="U34" s="3" t="s">
        <v>52</v>
      </c>
      <c r="V34" s="91">
        <f>(2^(1-(0.5*LOG(V35)))/100)</f>
        <v>0.13064159092466879</v>
      </c>
    </row>
    <row r="35" spans="1:22" x14ac:dyDescent="0.2">
      <c r="A35" s="31"/>
      <c r="B35" s="185" t="s">
        <v>53</v>
      </c>
      <c r="C35" s="186"/>
      <c r="D35" s="70">
        <f>IF(S24="","",+S24)</f>
        <v>0.99822705965180436</v>
      </c>
      <c r="E35" s="187" t="s">
        <v>54</v>
      </c>
      <c r="F35" s="186"/>
      <c r="G35" s="69" t="str">
        <f>IF(D35="","",IF(D35&lt;0.99,"NO","YES"))</f>
        <v>YES</v>
      </c>
      <c r="H35" s="31"/>
      <c r="I35" s="31"/>
      <c r="J35" s="31"/>
      <c r="K35" s="33" t="s">
        <v>55</v>
      </c>
      <c r="L35" s="35"/>
      <c r="M35" s="31"/>
      <c r="N35" s="31"/>
      <c r="O35" s="31"/>
      <c r="P35" s="31"/>
      <c r="Q35" s="31"/>
      <c r="R35" s="31"/>
      <c r="S35" s="31"/>
      <c r="U35" s="3" t="s">
        <v>56</v>
      </c>
      <c r="V35" s="100">
        <f>+IF(C11="mg/kg",D48/1000000,IF(C11="ug/kg",D48/1000000000))</f>
        <v>3.8451676541701416E-6</v>
      </c>
    </row>
    <row r="36" spans="1:22" ht="15.75" x14ac:dyDescent="0.25">
      <c r="A36" s="31"/>
      <c r="B36" s="196" t="s">
        <v>57</v>
      </c>
      <c r="C36" s="197"/>
      <c r="D36" s="71">
        <f>IF(S22="","",+MAX(U24:U30))</f>
        <v>7.9372203315468653E-2</v>
      </c>
      <c r="E36" s="72" t="s">
        <v>58</v>
      </c>
      <c r="F36" s="73">
        <f>IF(S22="","",40%)</f>
        <v>0.4</v>
      </c>
      <c r="G36" s="74" t="str">
        <f>+IF(D36="","",(IF(D36&gt;F36,"NO","YES")))</f>
        <v>YES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2" ht="15.75" x14ac:dyDescent="0.25">
      <c r="A37" s="31"/>
      <c r="B37" s="198" t="s">
        <v>59</v>
      </c>
      <c r="C37" s="199"/>
      <c r="D37" s="76">
        <f>IF(S22="","",+MAX(V24:V30))</f>
        <v>2.0205361754004579E-3</v>
      </c>
      <c r="E37" s="82" t="s">
        <v>58</v>
      </c>
      <c r="F37" s="83">
        <v>0.01</v>
      </c>
      <c r="G37" s="34" t="str">
        <f>+IF(D37="","",IF(D37&gt;1%,"NO","YES"))</f>
        <v>YES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22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22" x14ac:dyDescent="0.2">
      <c r="A39" s="31"/>
      <c r="B39" s="77"/>
      <c r="C39" s="77"/>
      <c r="D39" s="78"/>
      <c r="E39" s="72"/>
      <c r="F39" s="75"/>
      <c r="G39" s="77"/>
      <c r="H39" s="31"/>
      <c r="I39" s="31"/>
      <c r="J39" s="31"/>
      <c r="K39" s="33" t="s">
        <v>61</v>
      </c>
      <c r="L39" s="31"/>
      <c r="M39" s="31"/>
      <c r="N39" s="31"/>
      <c r="O39" s="31"/>
      <c r="P39" s="31"/>
      <c r="Q39" s="31"/>
      <c r="R39" s="31"/>
      <c r="S39" s="31"/>
    </row>
    <row r="40" spans="1:22" ht="15.75" x14ac:dyDescent="0.25">
      <c r="A40" s="31"/>
      <c r="B40" s="79" t="s">
        <v>62</v>
      </c>
      <c r="C40" s="80"/>
      <c r="D40" s="81"/>
      <c r="E40" s="82"/>
      <c r="F40" s="83"/>
      <c r="G40" s="8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2" ht="15.75" x14ac:dyDescent="0.25">
      <c r="A41" s="31"/>
      <c r="B41" s="185" t="s">
        <v>63</v>
      </c>
      <c r="C41" s="200"/>
      <c r="D41" s="84">
        <f>IF(M22="","",IF(M23="","",MAX(U22,U23)))</f>
        <v>2.2768128088239976E-2</v>
      </c>
      <c r="E41" s="85" t="s">
        <v>58</v>
      </c>
      <c r="F41" s="73">
        <f>IF(S22="","",40%)</f>
        <v>0.4</v>
      </c>
      <c r="G41" s="69" t="str">
        <f>IF(F41="","",IF(D41="","",IF(D41&lt;F41,"YES","NO")))</f>
        <v>YES</v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22" ht="15.75" x14ac:dyDescent="0.25">
      <c r="A42" s="31"/>
      <c r="B42" s="196" t="s">
        <v>64</v>
      </c>
      <c r="C42" s="202"/>
      <c r="D42" s="71">
        <f>IF(J23="","",IF(J22="","",MAX(V22,V23)))</f>
        <v>4.0763770251816194E-4</v>
      </c>
      <c r="E42" s="72" t="s">
        <v>58</v>
      </c>
      <c r="F42" s="75">
        <v>0.01</v>
      </c>
      <c r="G42" s="74" t="str">
        <f>IF(F42="","",IF(D42="","",IF(D42&lt;=F42,"YES","NO")))</f>
        <v>YES</v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22" ht="19.5" x14ac:dyDescent="0.35">
      <c r="A43" s="31"/>
      <c r="B43" s="196" t="s">
        <v>65</v>
      </c>
      <c r="C43" s="203"/>
      <c r="D43" s="104">
        <f>AB22</f>
        <v>287.26824880611053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22" ht="21" x14ac:dyDescent="0.35">
      <c r="A44" s="31"/>
      <c r="B44" s="196" t="s">
        <v>66</v>
      </c>
      <c r="C44" s="203"/>
      <c r="D44" s="71">
        <f>IF(D48="","",D43/D48)</f>
        <v>7.4708900792547717E-2</v>
      </c>
      <c r="E44" s="72" t="s">
        <v>67</v>
      </c>
      <c r="F44" s="75">
        <f>+IF(D48="","",IF(V35&lt;0.00000012,14.7%,V34*2/3))</f>
        <v>8.7094393949779192E-2</v>
      </c>
      <c r="G44" s="74" t="str">
        <f>IF(F44="","",IF(D44="","",IF(D44&lt;F44,"YES","NO")))</f>
        <v>YES</v>
      </c>
      <c r="H44" s="98" t="str">
        <f>+IF(G44="","",IF(G44="YES","→  CCα_max= ",""))</f>
        <v xml:space="preserve">→  CCα_max= </v>
      </c>
      <c r="I44" s="31"/>
      <c r="J44" s="99">
        <f>+IF(G44="","",IF(G44="NO","",IF(G44="YES",IF(AND(C11="ug/kg",C10&lt;120),C10+1.64*0.22*C10,IF(OR(C10&gt;=120,C11="mg/kg"),C10+1.64*C10*V34,"")))))</f>
        <v>9714.0176729316554</v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22" x14ac:dyDescent="0.2">
      <c r="A45" s="31"/>
      <c r="B45" s="196" t="s">
        <v>68</v>
      </c>
      <c r="C45" s="203"/>
      <c r="D45" s="96">
        <f>IF(D44="","",D48-AD22)</f>
        <v>3232.7557611391503</v>
      </c>
      <c r="E45" s="72"/>
      <c r="F45" s="73"/>
      <c r="G45" s="7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22" x14ac:dyDescent="0.2">
      <c r="A46" s="31"/>
      <c r="B46" s="198" t="s">
        <v>70</v>
      </c>
      <c r="C46" s="199"/>
      <c r="D46" s="97">
        <f>IF(D44="","",D48+AD22)</f>
        <v>4457.5795472011323</v>
      </c>
      <c r="E46" s="82"/>
      <c r="F46" s="83"/>
      <c r="G46" s="34" t="str">
        <f>IF(F46="","",IF(D46="","",IF(D46&lt;F46,"JA","NEE")))</f>
        <v/>
      </c>
      <c r="H46" s="31"/>
      <c r="I46" s="31"/>
      <c r="J46" s="31"/>
      <c r="K46" s="33" t="s">
        <v>61</v>
      </c>
      <c r="L46" s="31"/>
      <c r="M46" s="31"/>
      <c r="N46" s="31"/>
      <c r="O46" s="31"/>
      <c r="P46" s="31"/>
      <c r="Q46" s="31"/>
      <c r="R46" s="31"/>
      <c r="S46" s="31"/>
    </row>
    <row r="47" spans="1:22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22" ht="15.75" x14ac:dyDescent="0.25">
      <c r="A48" s="31"/>
      <c r="B48" s="77"/>
      <c r="C48" s="88" t="str">
        <f>+"Calculated concentration ("&amp;$C$11&amp;"): "</f>
        <v xml:space="preserve">Calculated concentration (ug/kg): </v>
      </c>
      <c r="D48" s="106">
        <f>IF(G41="","",IF(G42="","",+S23/S22))</f>
        <v>3845.1676541701413</v>
      </c>
      <c r="E48" s="77"/>
      <c r="F48" s="88" t="s">
        <v>71</v>
      </c>
      <c r="G48" s="194" t="str">
        <f>+IF(L34="","",IF(L34="NO","REPEAT",IF(D48="","COMPLIANT",IF(G41="NO","COMPLIANT",IF(AND(G44="NO",D48&lt;C10),"COMPLIANT",IF(AND(G44="NO",D48&gt;C10),"CHECK EGL",IF(G42="NO","COMPLIANT",IF(D48&gt;J44,"NON COMPLIANT","COMPLIANT"))))))))</f>
        <v>COMPLIANT</v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2">
      <c r="A49" s="31"/>
      <c r="B49" s="202"/>
      <c r="C49" s="202"/>
      <c r="D49" s="86"/>
      <c r="E49" s="202"/>
      <c r="F49" s="202"/>
      <c r="G49" s="77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 t="s">
        <v>73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>
        <v>0.22</v>
      </c>
    </row>
    <row r="56" spans="1:19" x14ac:dyDescent="0.2">
      <c r="E56" s="3">
        <f>10+1.64*(10*E55)</f>
        <v>13.608000000000001</v>
      </c>
    </row>
  </sheetData>
  <sheetProtection autoFilter="0"/>
  <mergeCells count="27">
    <mergeCell ref="B52:S52"/>
    <mergeCell ref="G48:H48"/>
    <mergeCell ref="B36:C36"/>
    <mergeCell ref="B37:C37"/>
    <mergeCell ref="B41:C41"/>
    <mergeCell ref="B46:C46"/>
    <mergeCell ref="B47:C47"/>
    <mergeCell ref="B49:C49"/>
    <mergeCell ref="E49:F49"/>
    <mergeCell ref="B42:C42"/>
    <mergeCell ref="B44:C44"/>
    <mergeCell ref="B45:C45"/>
    <mergeCell ref="B43:C43"/>
    <mergeCell ref="G20:G21"/>
    <mergeCell ref="J20:J21"/>
    <mergeCell ref="L20:L21"/>
    <mergeCell ref="M20:M21"/>
    <mergeCell ref="B35:C35"/>
    <mergeCell ref="E35:F35"/>
    <mergeCell ref="B34:C34"/>
    <mergeCell ref="E34:F34"/>
    <mergeCell ref="F20:F21"/>
    <mergeCell ref="C17:D17"/>
    <mergeCell ref="C18:D18"/>
    <mergeCell ref="C20:C21"/>
    <mergeCell ref="D20:D21"/>
    <mergeCell ref="E20:E21"/>
  </mergeCells>
  <conditionalFormatting sqref="I24:I30">
    <cfRule type="cellIs" dxfId="7" priority="1" operator="greaterThan">
      <formula>5*$D$48</formula>
    </cfRule>
    <cfRule type="cellIs" dxfId="6" priority="2" operator="lessThan">
      <formula>0.2*$D$48</formula>
    </cfRule>
  </conditionalFormatting>
  <dataValidations count="1">
    <dataValidation type="list" allowBlank="1" showInputMessage="1" showErrorMessage="1" sqref="C11" xr:uid="{00000000-0002-0000-0000-000000000000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2E91-826E-4446-AF91-23C9C4C2DE74}">
  <sheetPr>
    <pageSetUpPr fitToPage="1"/>
  </sheetPr>
  <dimension ref="A1:N32"/>
  <sheetViews>
    <sheetView workbookViewId="0">
      <selection activeCell="B1" sqref="B1"/>
    </sheetView>
  </sheetViews>
  <sheetFormatPr defaultRowHeight="15" x14ac:dyDescent="0.25"/>
  <cols>
    <col min="4" max="4" width="21.5703125" bestFit="1" customWidth="1"/>
  </cols>
  <sheetData>
    <row r="1" spans="1:14" x14ac:dyDescent="0.25">
      <c r="A1">
        <v>5469</v>
      </c>
      <c r="B1" t="s">
        <v>153</v>
      </c>
      <c r="C1" t="s">
        <v>100</v>
      </c>
      <c r="D1" t="s">
        <v>105</v>
      </c>
      <c r="E1" t="s">
        <v>104</v>
      </c>
      <c r="F1" t="s">
        <v>6</v>
      </c>
      <c r="G1" s="107">
        <v>115300000</v>
      </c>
      <c r="H1" s="107">
        <v>4.13</v>
      </c>
      <c r="I1" s="107">
        <f>G1/G2</f>
        <v>4.626805778491172</v>
      </c>
      <c r="L1" t="s">
        <v>157</v>
      </c>
      <c r="M1" t="s">
        <v>158</v>
      </c>
    </row>
    <row r="2" spans="1:14" x14ac:dyDescent="0.25">
      <c r="A2">
        <v>5472</v>
      </c>
      <c r="B2" t="s">
        <v>153</v>
      </c>
      <c r="C2" t="s">
        <v>100</v>
      </c>
      <c r="D2" t="s">
        <v>106</v>
      </c>
      <c r="E2" t="s">
        <v>104</v>
      </c>
      <c r="F2" t="s">
        <v>6</v>
      </c>
      <c r="G2" s="107">
        <v>24920000</v>
      </c>
      <c r="H2" s="107">
        <v>4.12</v>
      </c>
      <c r="I2" s="107"/>
      <c r="K2" t="s">
        <v>153</v>
      </c>
      <c r="L2" s="107">
        <f>AVERAGE(I1,I9,I17,I25)</f>
        <v>4.9658881602751315</v>
      </c>
      <c r="M2" s="108"/>
    </row>
    <row r="3" spans="1:14" x14ac:dyDescent="0.25">
      <c r="A3">
        <v>5547</v>
      </c>
      <c r="B3" t="s">
        <v>154</v>
      </c>
      <c r="C3" t="s">
        <v>100</v>
      </c>
      <c r="D3" t="s">
        <v>105</v>
      </c>
      <c r="E3" t="s">
        <v>104</v>
      </c>
      <c r="F3" t="s">
        <v>6</v>
      </c>
      <c r="G3" s="107">
        <v>24730000</v>
      </c>
      <c r="H3" s="107">
        <v>4.13</v>
      </c>
      <c r="I3" s="107">
        <f>G3/G4</f>
        <v>0.90453547915142651</v>
      </c>
      <c r="K3" t="s">
        <v>155</v>
      </c>
      <c r="L3" s="107">
        <f>AVERAGE(I5,I13,I21,I29)</f>
        <v>5.0260229552016327</v>
      </c>
      <c r="M3" s="110">
        <f>(L3-L2)/L2</f>
        <v>1.2109574961343768E-2</v>
      </c>
    </row>
    <row r="4" spans="1:14" x14ac:dyDescent="0.25">
      <c r="A4">
        <v>5550</v>
      </c>
      <c r="B4" t="s">
        <v>154</v>
      </c>
      <c r="C4" t="s">
        <v>100</v>
      </c>
      <c r="D4" t="s">
        <v>106</v>
      </c>
      <c r="E4" t="s">
        <v>104</v>
      </c>
      <c r="F4" t="s">
        <v>6</v>
      </c>
      <c r="G4" s="107">
        <v>27340000</v>
      </c>
      <c r="H4" s="107">
        <v>4.12</v>
      </c>
      <c r="I4" s="107"/>
      <c r="K4" t="s">
        <v>156</v>
      </c>
      <c r="L4" s="107">
        <f>AVERAGE(I7,I15,I23,I31)</f>
        <v>4.9117638056719377</v>
      </c>
      <c r="M4" s="110">
        <f>(L2-L4)/L4</f>
        <v>1.1019331699275279E-2</v>
      </c>
      <c r="N4" s="109"/>
    </row>
    <row r="5" spans="1:14" x14ac:dyDescent="0.25">
      <c r="A5">
        <v>5625</v>
      </c>
      <c r="B5" t="s">
        <v>155</v>
      </c>
      <c r="C5" t="s">
        <v>100</v>
      </c>
      <c r="D5" t="s">
        <v>105</v>
      </c>
      <c r="E5" t="s">
        <v>104</v>
      </c>
      <c r="F5" t="s">
        <v>6</v>
      </c>
      <c r="G5" s="107">
        <v>132300000</v>
      </c>
      <c r="H5" s="107">
        <v>4.12</v>
      </c>
      <c r="I5" s="107">
        <f>G5/G6</f>
        <v>5.243757431629013</v>
      </c>
    </row>
    <row r="6" spans="1:14" x14ac:dyDescent="0.25">
      <c r="A6">
        <v>5628</v>
      </c>
      <c r="B6" t="s">
        <v>155</v>
      </c>
      <c r="C6" t="s">
        <v>100</v>
      </c>
      <c r="D6" t="s">
        <v>106</v>
      </c>
      <c r="E6" t="s">
        <v>104</v>
      </c>
      <c r="F6" t="s">
        <v>6</v>
      </c>
      <c r="G6" s="107">
        <v>25230000</v>
      </c>
      <c r="H6" s="107">
        <v>4.1100000000000003</v>
      </c>
      <c r="I6" s="107"/>
    </row>
    <row r="7" spans="1:14" x14ac:dyDescent="0.25">
      <c r="A7">
        <v>5703</v>
      </c>
      <c r="B7" t="s">
        <v>156</v>
      </c>
      <c r="C7" t="s">
        <v>100</v>
      </c>
      <c r="D7" t="s">
        <v>105</v>
      </c>
      <c r="E7" t="s">
        <v>104</v>
      </c>
      <c r="F7" t="s">
        <v>6</v>
      </c>
      <c r="G7" s="107">
        <v>129300000</v>
      </c>
      <c r="H7" s="107">
        <v>4.12</v>
      </c>
      <c r="I7" s="107">
        <f>G7/G8</f>
        <v>4.7765053564831916</v>
      </c>
    </row>
    <row r="8" spans="1:14" x14ac:dyDescent="0.25">
      <c r="A8">
        <v>5706</v>
      </c>
      <c r="B8" t="s">
        <v>156</v>
      </c>
      <c r="C8" t="s">
        <v>100</v>
      </c>
      <c r="D8" t="s">
        <v>106</v>
      </c>
      <c r="E8" t="s">
        <v>104</v>
      </c>
      <c r="F8" t="s">
        <v>6</v>
      </c>
      <c r="G8" s="107">
        <v>27070000</v>
      </c>
      <c r="H8" s="107">
        <v>4.12</v>
      </c>
      <c r="I8" s="107"/>
    </row>
    <row r="9" spans="1:14" x14ac:dyDescent="0.25">
      <c r="A9">
        <v>5781</v>
      </c>
      <c r="B9" t="s">
        <v>153</v>
      </c>
      <c r="C9" t="s">
        <v>100</v>
      </c>
      <c r="D9" t="s">
        <v>105</v>
      </c>
      <c r="E9" t="s">
        <v>104</v>
      </c>
      <c r="F9" t="s">
        <v>6</v>
      </c>
      <c r="G9" s="107">
        <v>122000000</v>
      </c>
      <c r="H9" s="107">
        <v>4.13</v>
      </c>
      <c r="I9" s="107">
        <f>G9/G10</f>
        <v>4.9153908138597906</v>
      </c>
    </row>
    <row r="10" spans="1:14" x14ac:dyDescent="0.25">
      <c r="A10">
        <v>5784</v>
      </c>
      <c r="B10" t="s">
        <v>153</v>
      </c>
      <c r="C10" t="s">
        <v>100</v>
      </c>
      <c r="D10" t="s">
        <v>106</v>
      </c>
      <c r="E10" t="s">
        <v>104</v>
      </c>
      <c r="F10" t="s">
        <v>6</v>
      </c>
      <c r="G10" s="107">
        <v>24820000</v>
      </c>
      <c r="H10" s="107">
        <v>4.13</v>
      </c>
      <c r="I10" s="107"/>
    </row>
    <row r="11" spans="1:14" x14ac:dyDescent="0.25">
      <c r="A11">
        <v>5859</v>
      </c>
      <c r="B11" t="s">
        <v>154</v>
      </c>
      <c r="C11" t="s">
        <v>100</v>
      </c>
      <c r="D11" t="s">
        <v>105</v>
      </c>
      <c r="E11" t="s">
        <v>104</v>
      </c>
      <c r="F11" t="s">
        <v>6</v>
      </c>
      <c r="G11" s="107">
        <v>23320000</v>
      </c>
      <c r="H11" s="107">
        <v>4.13</v>
      </c>
      <c r="I11" s="107">
        <f>G11/G12</f>
        <v>0.84370477568740954</v>
      </c>
    </row>
    <row r="12" spans="1:14" x14ac:dyDescent="0.25">
      <c r="A12">
        <v>5862</v>
      </c>
      <c r="B12" t="s">
        <v>154</v>
      </c>
      <c r="C12" t="s">
        <v>100</v>
      </c>
      <c r="D12" t="s">
        <v>106</v>
      </c>
      <c r="E12" t="s">
        <v>104</v>
      </c>
      <c r="F12" t="s">
        <v>6</v>
      </c>
      <c r="G12" s="107">
        <v>27640000</v>
      </c>
      <c r="H12" s="107">
        <v>4.12</v>
      </c>
      <c r="I12" s="107"/>
    </row>
    <row r="13" spans="1:14" x14ac:dyDescent="0.25">
      <c r="A13">
        <v>5937</v>
      </c>
      <c r="B13" t="s">
        <v>155</v>
      </c>
      <c r="C13" t="s">
        <v>100</v>
      </c>
      <c r="D13" t="s">
        <v>105</v>
      </c>
      <c r="E13" t="s">
        <v>104</v>
      </c>
      <c r="F13" t="s">
        <v>6</v>
      </c>
      <c r="G13" s="107">
        <v>125400000</v>
      </c>
      <c r="H13" s="107">
        <v>4.12</v>
      </c>
      <c r="I13" s="107">
        <f>G13/G14</f>
        <v>4.9003516998827665</v>
      </c>
    </row>
    <row r="14" spans="1:14" x14ac:dyDescent="0.25">
      <c r="A14">
        <v>5940</v>
      </c>
      <c r="B14" t="s">
        <v>155</v>
      </c>
      <c r="C14" t="s">
        <v>100</v>
      </c>
      <c r="D14" t="s">
        <v>106</v>
      </c>
      <c r="E14" t="s">
        <v>104</v>
      </c>
      <c r="F14" t="s">
        <v>6</v>
      </c>
      <c r="G14" s="107">
        <v>25590000</v>
      </c>
      <c r="H14" s="107">
        <v>4.1100000000000003</v>
      </c>
      <c r="I14" s="107"/>
    </row>
    <row r="15" spans="1:14" x14ac:dyDescent="0.25">
      <c r="A15">
        <v>6015</v>
      </c>
      <c r="B15" t="s">
        <v>156</v>
      </c>
      <c r="C15" t="s">
        <v>100</v>
      </c>
      <c r="D15" t="s">
        <v>105</v>
      </c>
      <c r="E15" t="s">
        <v>104</v>
      </c>
      <c r="F15" t="s">
        <v>6</v>
      </c>
      <c r="G15" s="107">
        <v>129500000</v>
      </c>
      <c r="H15" s="107">
        <v>4.13</v>
      </c>
      <c r="I15" s="107">
        <f>G15/G16</f>
        <v>5.0019312475859401</v>
      </c>
    </row>
    <row r="16" spans="1:14" x14ac:dyDescent="0.25">
      <c r="A16">
        <v>6018</v>
      </c>
      <c r="B16" t="s">
        <v>156</v>
      </c>
      <c r="C16" t="s">
        <v>100</v>
      </c>
      <c r="D16" t="s">
        <v>106</v>
      </c>
      <c r="E16" t="s">
        <v>104</v>
      </c>
      <c r="F16" t="s">
        <v>6</v>
      </c>
      <c r="G16" s="107">
        <v>25890000</v>
      </c>
      <c r="H16" s="107">
        <v>4.12</v>
      </c>
      <c r="I16" s="107"/>
    </row>
    <row r="17" spans="1:9" x14ac:dyDescent="0.25">
      <c r="A17">
        <v>6093</v>
      </c>
      <c r="B17" t="s">
        <v>153</v>
      </c>
      <c r="C17" t="s">
        <v>100</v>
      </c>
      <c r="D17" t="s">
        <v>105</v>
      </c>
      <c r="E17" t="s">
        <v>104</v>
      </c>
      <c r="F17" t="s">
        <v>6</v>
      </c>
      <c r="G17" s="107">
        <v>122900000</v>
      </c>
      <c r="H17" s="107">
        <v>4.1399999999999997</v>
      </c>
      <c r="I17" s="107">
        <f>G17/G18</f>
        <v>4.9736948603804132</v>
      </c>
    </row>
    <row r="18" spans="1:9" x14ac:dyDescent="0.25">
      <c r="A18">
        <v>6096</v>
      </c>
      <c r="B18" t="s">
        <v>153</v>
      </c>
      <c r="C18" t="s">
        <v>100</v>
      </c>
      <c r="D18" t="s">
        <v>106</v>
      </c>
      <c r="E18" t="s">
        <v>104</v>
      </c>
      <c r="F18" t="s">
        <v>6</v>
      </c>
      <c r="G18" s="107">
        <v>24710000</v>
      </c>
      <c r="H18" s="107">
        <v>4.13</v>
      </c>
      <c r="I18" s="107"/>
    </row>
    <row r="19" spans="1:9" x14ac:dyDescent="0.25">
      <c r="A19">
        <v>6171</v>
      </c>
      <c r="B19" t="s">
        <v>154</v>
      </c>
      <c r="C19" t="s">
        <v>100</v>
      </c>
      <c r="D19" t="s">
        <v>105</v>
      </c>
      <c r="E19" t="s">
        <v>104</v>
      </c>
      <c r="F19" t="s">
        <v>6</v>
      </c>
      <c r="G19" s="107">
        <v>23960000</v>
      </c>
      <c r="H19" s="107">
        <v>4.12</v>
      </c>
      <c r="I19" s="107">
        <f>G19/G20</f>
        <v>0.92118415993848524</v>
      </c>
    </row>
    <row r="20" spans="1:9" x14ac:dyDescent="0.25">
      <c r="A20">
        <v>6174</v>
      </c>
      <c r="B20" t="s">
        <v>154</v>
      </c>
      <c r="C20" t="s">
        <v>100</v>
      </c>
      <c r="D20" t="s">
        <v>106</v>
      </c>
      <c r="E20" t="s">
        <v>104</v>
      </c>
      <c r="F20" t="s">
        <v>6</v>
      </c>
      <c r="G20" s="107">
        <v>26010000</v>
      </c>
      <c r="H20" s="107">
        <v>4.1100000000000003</v>
      </c>
      <c r="I20" s="107"/>
    </row>
    <row r="21" spans="1:9" x14ac:dyDescent="0.25">
      <c r="A21">
        <v>6249</v>
      </c>
      <c r="B21" t="s">
        <v>155</v>
      </c>
      <c r="C21" t="s">
        <v>100</v>
      </c>
      <c r="D21" t="s">
        <v>105</v>
      </c>
      <c r="E21" t="s">
        <v>104</v>
      </c>
      <c r="F21" t="s">
        <v>6</v>
      </c>
      <c r="G21" s="107">
        <v>127300000</v>
      </c>
      <c r="H21" s="107">
        <v>4.13</v>
      </c>
      <c r="I21" s="107">
        <f>G21/G22</f>
        <v>5.1372074253430187</v>
      </c>
    </row>
    <row r="22" spans="1:9" x14ac:dyDescent="0.25">
      <c r="A22">
        <v>6252</v>
      </c>
      <c r="B22" t="s">
        <v>155</v>
      </c>
      <c r="C22" t="s">
        <v>100</v>
      </c>
      <c r="D22" t="s">
        <v>106</v>
      </c>
      <c r="E22" t="s">
        <v>104</v>
      </c>
      <c r="F22" t="s">
        <v>6</v>
      </c>
      <c r="G22" s="107">
        <v>24780000</v>
      </c>
      <c r="H22" s="107">
        <v>4.12</v>
      </c>
      <c r="I22" s="107"/>
    </row>
    <row r="23" spans="1:9" x14ac:dyDescent="0.25">
      <c r="A23">
        <v>6327</v>
      </c>
      <c r="B23" t="s">
        <v>156</v>
      </c>
      <c r="C23" t="s">
        <v>100</v>
      </c>
      <c r="D23" t="s">
        <v>105</v>
      </c>
      <c r="E23" t="s">
        <v>104</v>
      </c>
      <c r="F23" t="s">
        <v>6</v>
      </c>
      <c r="G23" s="107">
        <v>128400000</v>
      </c>
      <c r="H23" s="107">
        <v>4.12</v>
      </c>
      <c r="I23" s="107">
        <f>G23/G24</f>
        <v>4.8198198198198199</v>
      </c>
    </row>
    <row r="24" spans="1:9" x14ac:dyDescent="0.25">
      <c r="A24">
        <v>6330</v>
      </c>
      <c r="B24" t="s">
        <v>156</v>
      </c>
      <c r="C24" t="s">
        <v>100</v>
      </c>
      <c r="D24" t="s">
        <v>106</v>
      </c>
      <c r="E24" t="s">
        <v>104</v>
      </c>
      <c r="F24" t="s">
        <v>6</v>
      </c>
      <c r="G24" s="107">
        <v>26640000</v>
      </c>
      <c r="H24" s="107">
        <v>4.12</v>
      </c>
      <c r="I24" s="107"/>
    </row>
    <row r="25" spans="1:9" x14ac:dyDescent="0.25">
      <c r="A25">
        <v>6405</v>
      </c>
      <c r="B25" t="s">
        <v>153</v>
      </c>
      <c r="C25" t="s">
        <v>100</v>
      </c>
      <c r="D25" t="s">
        <v>105</v>
      </c>
      <c r="E25" t="s">
        <v>104</v>
      </c>
      <c r="F25" t="s">
        <v>6</v>
      </c>
      <c r="G25" s="107">
        <v>126900000</v>
      </c>
      <c r="H25" s="107">
        <v>4.13</v>
      </c>
      <c r="I25" s="107">
        <f>G25/G26</f>
        <v>5.3476611883691527</v>
      </c>
    </row>
    <row r="26" spans="1:9" x14ac:dyDescent="0.25">
      <c r="A26">
        <v>6408</v>
      </c>
      <c r="B26" t="s">
        <v>153</v>
      </c>
      <c r="C26" t="s">
        <v>100</v>
      </c>
      <c r="D26" t="s">
        <v>106</v>
      </c>
      <c r="E26" t="s">
        <v>104</v>
      </c>
      <c r="F26" t="s">
        <v>6</v>
      </c>
      <c r="G26" s="107">
        <v>23730000</v>
      </c>
      <c r="H26" s="107">
        <v>4.12</v>
      </c>
      <c r="I26" s="107"/>
    </row>
    <row r="27" spans="1:9" x14ac:dyDescent="0.25">
      <c r="A27">
        <v>6483</v>
      </c>
      <c r="B27" t="s">
        <v>154</v>
      </c>
      <c r="C27" t="s">
        <v>100</v>
      </c>
      <c r="D27" t="s">
        <v>105</v>
      </c>
      <c r="E27" t="s">
        <v>104</v>
      </c>
      <c r="F27" t="s">
        <v>6</v>
      </c>
      <c r="G27" s="107">
        <v>23580000</v>
      </c>
      <c r="H27" s="107">
        <v>4.13</v>
      </c>
      <c r="I27" s="107">
        <f>G27/G28</f>
        <v>0.89352027283061763</v>
      </c>
    </row>
    <row r="28" spans="1:9" x14ac:dyDescent="0.25">
      <c r="A28">
        <v>6486</v>
      </c>
      <c r="B28" t="s">
        <v>154</v>
      </c>
      <c r="C28" t="s">
        <v>100</v>
      </c>
      <c r="D28" t="s">
        <v>106</v>
      </c>
      <c r="E28" t="s">
        <v>104</v>
      </c>
      <c r="F28" t="s">
        <v>6</v>
      </c>
      <c r="G28" s="107">
        <v>26390000</v>
      </c>
      <c r="H28" s="107">
        <v>4.12</v>
      </c>
      <c r="I28" s="107"/>
    </row>
    <row r="29" spans="1:9" x14ac:dyDescent="0.25">
      <c r="A29">
        <v>6561</v>
      </c>
      <c r="B29" t="s">
        <v>155</v>
      </c>
      <c r="C29" t="s">
        <v>100</v>
      </c>
      <c r="D29" t="s">
        <v>105</v>
      </c>
      <c r="E29" t="s">
        <v>104</v>
      </c>
      <c r="F29" t="s">
        <v>6</v>
      </c>
      <c r="G29" s="107">
        <v>127900000</v>
      </c>
      <c r="H29" s="107">
        <v>4.13</v>
      </c>
      <c r="I29" s="107">
        <f>G29/G30</f>
        <v>4.8227752639517343</v>
      </c>
    </row>
    <row r="30" spans="1:9" x14ac:dyDescent="0.25">
      <c r="A30">
        <v>6564</v>
      </c>
      <c r="B30" t="s">
        <v>155</v>
      </c>
      <c r="C30" t="s">
        <v>100</v>
      </c>
      <c r="D30" t="s">
        <v>106</v>
      </c>
      <c r="E30" t="s">
        <v>104</v>
      </c>
      <c r="F30" t="s">
        <v>6</v>
      </c>
      <c r="G30" s="107">
        <v>26520000</v>
      </c>
      <c r="H30" s="107">
        <v>4.12</v>
      </c>
    </row>
    <row r="31" spans="1:9" x14ac:dyDescent="0.25">
      <c r="A31">
        <v>6639</v>
      </c>
      <c r="B31" t="s">
        <v>156</v>
      </c>
      <c r="C31" t="s">
        <v>100</v>
      </c>
      <c r="D31" t="s">
        <v>105</v>
      </c>
      <c r="E31" t="s">
        <v>104</v>
      </c>
      <c r="F31" t="s">
        <v>6</v>
      </c>
      <c r="G31" s="107">
        <v>134500000</v>
      </c>
      <c r="H31" s="107">
        <v>4.13</v>
      </c>
      <c r="I31" s="107">
        <f>G31/G32</f>
        <v>5.0487987987987992</v>
      </c>
    </row>
    <row r="32" spans="1:9" x14ac:dyDescent="0.25">
      <c r="A32">
        <v>6642</v>
      </c>
      <c r="B32" t="s">
        <v>156</v>
      </c>
      <c r="C32" t="s">
        <v>100</v>
      </c>
      <c r="D32" t="s">
        <v>106</v>
      </c>
      <c r="E32" t="s">
        <v>104</v>
      </c>
      <c r="F32" t="s">
        <v>6</v>
      </c>
      <c r="G32" s="107">
        <v>26640000</v>
      </c>
      <c r="H32" s="107">
        <v>4.12</v>
      </c>
    </row>
  </sheetData>
  <sheetProtection sheet="1" objects="1" scenarios="1" autoFilter="0"/>
  <pageMargins left="0.7" right="0.7" top="0.75" bottom="0.7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886D-C198-49E8-984E-E057304B0D87}">
  <sheetPr>
    <pageSetUpPr fitToPage="1"/>
  </sheetPr>
  <dimension ref="A1:AE71"/>
  <sheetViews>
    <sheetView tabSelected="1" zoomScale="70" zoomScaleNormal="70" zoomScaleSheetLayoutView="70" zoomScalePageLayoutView="40" workbookViewId="0">
      <selection activeCell="F61" sqref="F61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26" style="3" customWidth="1"/>
    <col min="22" max="22" width="21.28515625" style="3" customWidth="1"/>
    <col min="23" max="23" width="22.28515625" style="3" customWidth="1"/>
    <col min="24" max="24" width="19.28515625" style="3" bestFit="1" customWidth="1"/>
    <col min="25" max="25" width="16.28515625" style="3" bestFit="1" customWidth="1"/>
    <col min="26" max="27" width="9.140625" style="3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/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159</v>
      </c>
      <c r="C3" s="1"/>
      <c r="D3" s="1"/>
      <c r="F3" s="1"/>
      <c r="G3" s="1"/>
      <c r="H3" s="1"/>
      <c r="I3" s="1"/>
      <c r="J3" s="1"/>
      <c r="K3" s="1"/>
      <c r="U3" s="129"/>
    </row>
    <row r="4" spans="1:21" x14ac:dyDescent="0.2">
      <c r="A4" s="1"/>
      <c r="E4" s="1"/>
      <c r="F4" s="1"/>
      <c r="G4" s="1"/>
      <c r="H4" s="1"/>
      <c r="I4" s="1"/>
      <c r="J4" s="1"/>
      <c r="K4" s="1"/>
      <c r="U4" s="129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/>
      <c r="D6" s="1"/>
      <c r="E6" s="1" t="s">
        <v>162</v>
      </c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/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/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/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171</v>
      </c>
      <c r="C10" s="9">
        <v>800</v>
      </c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/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166</v>
      </c>
      <c r="C18" s="175"/>
      <c r="D18" s="176"/>
      <c r="E18" s="1"/>
      <c r="G18" s="1"/>
      <c r="H18" s="1"/>
      <c r="I18" s="1"/>
      <c r="L18" s="1"/>
      <c r="M18" s="1"/>
      <c r="N18" s="1"/>
      <c r="O18" s="1"/>
    </row>
    <row r="19" spans="1:30" ht="38.25" x14ac:dyDescent="0.35">
      <c r="A19" s="1"/>
      <c r="I19" s="95"/>
      <c r="W19" s="143" t="s">
        <v>176</v>
      </c>
      <c r="X19" s="143" t="s">
        <v>177</v>
      </c>
      <c r="Y19" s="151" t="s">
        <v>172</v>
      </c>
      <c r="Z19" s="150"/>
      <c r="AA19" s="158" t="s">
        <v>174</v>
      </c>
      <c r="AB19" s="150"/>
    </row>
    <row r="20" spans="1:30" ht="15.75" x14ac:dyDescent="0.25">
      <c r="B20" s="41" t="s">
        <v>18</v>
      </c>
      <c r="C20" s="177" t="s">
        <v>19</v>
      </c>
      <c r="D20" s="179" t="s">
        <v>168</v>
      </c>
      <c r="E20" s="179" t="s">
        <v>169</v>
      </c>
      <c r="F20" s="177" t="s">
        <v>22</v>
      </c>
      <c r="G20" s="208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135" t="s">
        <v>29</v>
      </c>
      <c r="P20" s="43"/>
      <c r="R20" s="7"/>
      <c r="S20" s="137" t="s">
        <v>30</v>
      </c>
    </row>
    <row r="21" spans="1:30" ht="19.5" x14ac:dyDescent="0.35">
      <c r="B21" s="44" t="str">
        <f>+"("&amp;$C$11&amp;")"</f>
        <v>(ug/kg)</v>
      </c>
      <c r="C21" s="178"/>
      <c r="D21" s="180"/>
      <c r="E21" s="180"/>
      <c r="F21" s="178"/>
      <c r="G21" s="209"/>
      <c r="I21" s="23" t="str">
        <f>+"("&amp;$C$11&amp;")"</f>
        <v>(ug/kg)</v>
      </c>
      <c r="J21" s="178"/>
      <c r="K21" s="136" t="s">
        <v>31</v>
      </c>
      <c r="L21" s="178"/>
      <c r="M21" s="184"/>
      <c r="N21" s="46" t="s">
        <v>31</v>
      </c>
      <c r="O21" s="136" t="s">
        <v>32</v>
      </c>
      <c r="P21" s="138" t="s">
        <v>33</v>
      </c>
      <c r="R21" s="152" t="s">
        <v>173</v>
      </c>
      <c r="S21" s="138"/>
      <c r="U21" s="144" t="s">
        <v>34</v>
      </c>
      <c r="V21" s="144" t="s">
        <v>35</v>
      </c>
      <c r="W21" s="7" t="s">
        <v>36</v>
      </c>
      <c r="X21" s="7" t="s">
        <v>37</v>
      </c>
      <c r="Y21" s="7" t="s">
        <v>38</v>
      </c>
      <c r="Z21" s="7" t="s">
        <v>39</v>
      </c>
      <c r="AA21" s="7" t="s">
        <v>40</v>
      </c>
      <c r="AB21" s="7" t="s">
        <v>164</v>
      </c>
      <c r="AC21" s="129"/>
      <c r="AD21" s="129"/>
    </row>
    <row r="22" spans="1:30" x14ac:dyDescent="0.2">
      <c r="B22" s="168">
        <v>0</v>
      </c>
      <c r="C22" s="145">
        <v>4.12</v>
      </c>
      <c r="D22" s="146">
        <v>55230000</v>
      </c>
      <c r="E22" s="147">
        <v>42230000</v>
      </c>
      <c r="F22" s="145">
        <v>4.12</v>
      </c>
      <c r="G22" s="148">
        <v>3344000</v>
      </c>
      <c r="I22" s="93">
        <f>+IF(B22="","",B22)</f>
        <v>0</v>
      </c>
      <c r="J22" s="51">
        <f>+IF(B22="","",(IF(F22="","",(C22/F22))))</f>
        <v>1</v>
      </c>
      <c r="K22" s="52">
        <f t="shared" ref="K22:K30" si="0">+IF(J22="","",((((J22-(AVERAGE(J$24:J$30)))/(AVERAGE(J$24:J$30))))))</f>
        <v>-1.6174710456960124E-3</v>
      </c>
      <c r="L22" s="12">
        <f>+IF(B22="","",(IF(G22="","",IF(I22="","",((D22)/(G22))))))</f>
        <v>16.516148325358852</v>
      </c>
      <c r="M22" s="13">
        <f>IF(I22="","",IF(OR(B22="",E22="",G22=""),"",E22/D22))</f>
        <v>0.7646206771682057</v>
      </c>
      <c r="N22" s="53">
        <f t="shared" ref="N22:N30" si="1">+IF(M22="","",((((M22-(AVERAGE(M$24:M$30))))/(AVERAGE(M$24:M$30)))))</f>
        <v>2.1075657517272459E-2</v>
      </c>
      <c r="O22" s="54"/>
      <c r="P22" s="137"/>
      <c r="R22" s="19" t="s">
        <v>44</v>
      </c>
      <c r="S22" s="112">
        <f>IF(COUNT(L22:L30)&gt;0,SLOPE(L22:L30,I22:I30),"")</f>
        <v>1.4494332046699941E-2</v>
      </c>
      <c r="U22" s="144">
        <f t="shared" ref="U22:U23" si="2">IF(N22="","",(ABS(N22)))</f>
        <v>2.1075657517272459E-2</v>
      </c>
      <c r="V22" s="144">
        <f t="shared" ref="V22:V23" si="3">IF(K22="","",(ABS(K22)))</f>
        <v>1.6174710456960124E-3</v>
      </c>
      <c r="W22" s="7">
        <f>IF(I22="","",+$S$22*I22+$S$23)</f>
        <v>18.148136139257616</v>
      </c>
      <c r="X22" s="7">
        <f>IF(I22="","",(L22-W22)^2)</f>
        <v>2.6633842247140667</v>
      </c>
      <c r="Y22" s="7">
        <f>IF(I22="","",(I22-AVERAGE($I$22:$I$30))^2)</f>
        <v>1166400</v>
      </c>
      <c r="Z22" s="130">
        <f>+AVERAGE(L22:L30)</f>
        <v>33.802014749693555</v>
      </c>
      <c r="AA22" s="131">
        <f>+SQRT(X31/(COUNT(I22:I30)-2))</f>
        <v>1.6410733941592464</v>
      </c>
      <c r="AB22" s="30">
        <f>(AA22/S22)*SQRT(1/(COUNT(I22:I30))+((Z22^2)/(S22^2*Y31)))</f>
        <v>120.18725383535275</v>
      </c>
      <c r="AC22" s="129"/>
      <c r="AD22" s="129"/>
    </row>
    <row r="23" spans="1:30" x14ac:dyDescent="0.2">
      <c r="B23" s="149">
        <v>300</v>
      </c>
      <c r="C23" s="145">
        <v>4.13</v>
      </c>
      <c r="D23" s="146">
        <v>68290000</v>
      </c>
      <c r="E23" s="147">
        <v>52300000</v>
      </c>
      <c r="F23" s="145">
        <v>4.13</v>
      </c>
      <c r="G23" s="148">
        <v>3007000</v>
      </c>
      <c r="I23" s="93">
        <f>+IF(B23="","",B23)</f>
        <v>300</v>
      </c>
      <c r="J23" s="56">
        <f>+IF(B23="","",(IF(F23="","",(C23/F23))))</f>
        <v>1</v>
      </c>
      <c r="K23" s="52">
        <f t="shared" si="0"/>
        <v>-1.6174710456960124E-3</v>
      </c>
      <c r="L23" s="17">
        <f>+IF(B23="","",(IF(G23="","",IF(I23="","",((D23)/(G23))))))</f>
        <v>22.710342534087129</v>
      </c>
      <c r="M23" s="18">
        <f>IF(I23="","",IF(OR(B23="",E23="",G23=""),"",E23/D23))</f>
        <v>0.76585151559525555</v>
      </c>
      <c r="N23" s="53">
        <f t="shared" si="1"/>
        <v>2.2719321092853451E-2</v>
      </c>
      <c r="O23" s="54"/>
      <c r="P23" s="57"/>
      <c r="R23" s="21" t="s">
        <v>45</v>
      </c>
      <c r="S23" s="22">
        <f>IF(S22="","",INTERCEPT(L22:L30,I22:I30))</f>
        <v>18.148136139257616</v>
      </c>
      <c r="U23" s="144">
        <f t="shared" si="2"/>
        <v>2.2719321092853451E-2</v>
      </c>
      <c r="V23" s="144">
        <f t="shared" si="3"/>
        <v>1.6174710456960124E-3</v>
      </c>
      <c r="W23" s="7">
        <f t="shared" ref="W23" si="4">IF(I23="","",+$S$22*I23+$S$23)</f>
        <v>22.496435753267598</v>
      </c>
      <c r="X23" s="7">
        <f t="shared" ref="X23" si="5">IF(I23="","",(L23-W23)^2)</f>
        <v>4.5756110880575046E-2</v>
      </c>
      <c r="Y23" s="7">
        <f t="shared" ref="Y23" si="6">IF(I23="","",(I23-AVERAGE($I$22:$I$30))^2)</f>
        <v>608400</v>
      </c>
      <c r="Z23" s="7"/>
      <c r="AA23" s="7"/>
      <c r="AB23" s="7"/>
    </row>
    <row r="24" spans="1:30" x14ac:dyDescent="0.2">
      <c r="B24" s="149">
        <v>600</v>
      </c>
      <c r="C24" s="145">
        <v>4.12</v>
      </c>
      <c r="D24" s="146">
        <v>83870000</v>
      </c>
      <c r="E24" s="147">
        <v>64440000</v>
      </c>
      <c r="F24" s="145">
        <v>4.1100000000000003</v>
      </c>
      <c r="G24" s="148">
        <v>3058000</v>
      </c>
      <c r="I24" s="93">
        <f t="shared" ref="I24:I29" si="7">+IF(B24="","",B24)</f>
        <v>600</v>
      </c>
      <c r="J24" s="56">
        <f t="shared" ref="J24:J30" si="8">+IF(B24="","",(IF(F24="","",(C24/F24))))</f>
        <v>1.0024330900243308</v>
      </c>
      <c r="K24" s="52">
        <f t="shared" si="0"/>
        <v>8.1168352596884704E-4</v>
      </c>
      <c r="L24" s="17">
        <f>+IF(B24="","",(IF(G24="","",IF(I24="","",((D24)/(G24))))))</f>
        <v>27.426422498364943</v>
      </c>
      <c r="M24" s="18">
        <f t="shared" ref="M24:M30" si="9">IF(I24="","",IF(OR(B24="",E24="",G24=""),"",E24/D24))</f>
        <v>0.76833194229164181</v>
      </c>
      <c r="N24" s="53">
        <f t="shared" si="1"/>
        <v>2.6031686812959188E-2</v>
      </c>
      <c r="O24" s="58">
        <f t="shared" ref="O24:O30" si="10">IF(L24="","",(L24-$S$23)/$S$22)</f>
        <v>640.13204121536592</v>
      </c>
      <c r="P24" s="102">
        <f t="shared" ref="P24:P30" si="11">IF(O24="","",+O24/B24)</f>
        <v>1.0668867353589433</v>
      </c>
      <c r="R24" s="23" t="s">
        <v>46</v>
      </c>
      <c r="S24" s="24">
        <f>IF(S22="","",CORREL(L22:L30,I22:I30))</f>
        <v>0.99673913785786472</v>
      </c>
      <c r="U24" s="144">
        <f t="shared" ref="U24:U30" si="12">IF(N24="","",(ABS(N24)))</f>
        <v>2.6031686812959188E-2</v>
      </c>
      <c r="V24" s="144">
        <f t="shared" ref="V24:V30" si="13">IF(K24="","",(ABS(K24)))</f>
        <v>8.1168352596884704E-4</v>
      </c>
      <c r="W24" s="7">
        <f t="shared" ref="W24:W30" si="14">IF(I24="","",+$S$22*I24+$S$23)</f>
        <v>26.844735367277579</v>
      </c>
      <c r="X24" s="7">
        <f t="shared" ref="X24:X30" si="15">IF(I24="","",(L24-W24)^2)</f>
        <v>0.33835991847264785</v>
      </c>
      <c r="Y24" s="7">
        <f t="shared" ref="Y24:Y30" si="16">IF(I24="","",(I24-AVERAGE($I$22:$I$30))^2)</f>
        <v>230400</v>
      </c>
      <c r="Z24" s="132"/>
      <c r="AA24" s="7"/>
      <c r="AB24" s="7"/>
    </row>
    <row r="25" spans="1:30" x14ac:dyDescent="0.2">
      <c r="B25" s="149">
        <v>1500</v>
      </c>
      <c r="C25" s="145">
        <v>4.13</v>
      </c>
      <c r="D25" s="146">
        <v>112000000</v>
      </c>
      <c r="E25" s="147">
        <v>84860000</v>
      </c>
      <c r="F25" s="145">
        <v>4.12</v>
      </c>
      <c r="G25" s="148">
        <v>2677000</v>
      </c>
      <c r="I25" s="93">
        <f t="shared" si="7"/>
        <v>1500</v>
      </c>
      <c r="J25" s="56">
        <f t="shared" si="8"/>
        <v>1.0024271844660193</v>
      </c>
      <c r="K25" s="52">
        <f t="shared" si="0"/>
        <v>8.0578751972694364E-4</v>
      </c>
      <c r="L25" s="17">
        <f t="shared" ref="L25:L30" si="17">+IF(B25="","",(IF(G25="","",IF(I25="","",((D25)/(G25))))))</f>
        <v>41.837878221890179</v>
      </c>
      <c r="M25" s="18">
        <f t="shared" si="9"/>
        <v>0.75767857142857142</v>
      </c>
      <c r="N25" s="53">
        <f t="shared" si="1"/>
        <v>1.1805158570129617E-2</v>
      </c>
      <c r="O25" s="58">
        <f t="shared" si="10"/>
        <v>1634.4141976536425</v>
      </c>
      <c r="P25" s="102">
        <f t="shared" si="11"/>
        <v>1.0896094651024284</v>
      </c>
      <c r="Q25" s="7"/>
      <c r="R25" s="30"/>
      <c r="U25" s="144">
        <f t="shared" si="12"/>
        <v>1.1805158570129617E-2</v>
      </c>
      <c r="V25" s="144">
        <f t="shared" si="13"/>
        <v>8.0578751972694364E-4</v>
      </c>
      <c r="W25" s="7">
        <f t="shared" si="14"/>
        <v>39.88963420930753</v>
      </c>
      <c r="X25" s="7">
        <f t="shared" si="15"/>
        <v>3.7956547325641394</v>
      </c>
      <c r="Y25" s="7">
        <f t="shared" si="16"/>
        <v>176400</v>
      </c>
      <c r="Z25" s="7"/>
      <c r="AA25" s="7"/>
      <c r="AB25" s="7"/>
    </row>
    <row r="26" spans="1:30" x14ac:dyDescent="0.2">
      <c r="B26" s="149">
        <v>3000</v>
      </c>
      <c r="C26" s="145">
        <v>4.1399999999999997</v>
      </c>
      <c r="D26" s="146">
        <v>158500000</v>
      </c>
      <c r="E26" s="147">
        <v>114200000</v>
      </c>
      <c r="F26" s="145">
        <v>4.1399999999999997</v>
      </c>
      <c r="G26" s="148">
        <v>2619000</v>
      </c>
      <c r="I26" s="93">
        <f t="shared" si="7"/>
        <v>3000</v>
      </c>
      <c r="J26" s="56">
        <f t="shared" si="8"/>
        <v>1</v>
      </c>
      <c r="K26" s="52">
        <f t="shared" si="0"/>
        <v>-1.6174710456960124E-3</v>
      </c>
      <c r="L26" s="17">
        <f t="shared" si="17"/>
        <v>60.519282168766708</v>
      </c>
      <c r="M26" s="18">
        <f t="shared" si="9"/>
        <v>0.72050473186119879</v>
      </c>
      <c r="N26" s="53">
        <f t="shared" si="1"/>
        <v>-3.7836845383088805E-2</v>
      </c>
      <c r="O26" s="58">
        <f t="shared" si="10"/>
        <v>2923.2906968732045</v>
      </c>
      <c r="P26" s="102">
        <f t="shared" si="11"/>
        <v>0.97443023229106818</v>
      </c>
      <c r="Q26" s="7"/>
      <c r="R26" s="30"/>
      <c r="U26" s="144">
        <f t="shared" si="12"/>
        <v>3.7836845383088805E-2</v>
      </c>
      <c r="V26" s="144">
        <f t="shared" si="13"/>
        <v>1.6174710456960124E-3</v>
      </c>
      <c r="W26" s="7">
        <f t="shared" si="14"/>
        <v>61.631132279357438</v>
      </c>
      <c r="X26" s="7">
        <f t="shared" si="15"/>
        <v>1.2362106684206184</v>
      </c>
      <c r="Y26" s="7">
        <f t="shared" si="16"/>
        <v>3686400</v>
      </c>
      <c r="Z26" s="7"/>
      <c r="AA26" s="7"/>
      <c r="AB26" s="7"/>
    </row>
    <row r="27" spans="1:30" x14ac:dyDescent="0.2">
      <c r="B27" s="149"/>
      <c r="C27" s="145"/>
      <c r="D27" s="146"/>
      <c r="E27" s="147"/>
      <c r="F27" s="145"/>
      <c r="G27" s="148"/>
      <c r="I27" s="93" t="str">
        <f t="shared" si="7"/>
        <v/>
      </c>
      <c r="J27" s="56" t="str">
        <f t="shared" si="8"/>
        <v/>
      </c>
      <c r="K27" s="52" t="str">
        <f t="shared" si="0"/>
        <v/>
      </c>
      <c r="L27" s="17" t="str">
        <f t="shared" si="17"/>
        <v/>
      </c>
      <c r="M27" s="18" t="str">
        <f t="shared" si="9"/>
        <v/>
      </c>
      <c r="N27" s="53" t="str">
        <f t="shared" si="1"/>
        <v/>
      </c>
      <c r="O27" s="58" t="str">
        <f t="shared" si="10"/>
        <v/>
      </c>
      <c r="P27" s="102" t="str">
        <f t="shared" si="11"/>
        <v/>
      </c>
      <c r="Q27" s="7"/>
      <c r="R27" s="30"/>
      <c r="U27" s="144" t="str">
        <f t="shared" si="12"/>
        <v/>
      </c>
      <c r="V27" s="144" t="str">
        <f t="shared" si="13"/>
        <v/>
      </c>
      <c r="W27" s="7" t="str">
        <f t="shared" si="14"/>
        <v/>
      </c>
      <c r="X27" s="7" t="str">
        <f t="shared" si="15"/>
        <v/>
      </c>
      <c r="Y27" s="7" t="str">
        <f t="shared" si="16"/>
        <v/>
      </c>
      <c r="Z27" s="7"/>
      <c r="AA27" s="7"/>
      <c r="AB27" s="7"/>
    </row>
    <row r="28" spans="1:30" x14ac:dyDescent="0.2">
      <c r="B28" s="149"/>
      <c r="C28" s="145"/>
      <c r="D28" s="146"/>
      <c r="E28" s="147"/>
      <c r="F28" s="145"/>
      <c r="G28" s="148"/>
      <c r="I28" s="93" t="str">
        <f t="shared" si="7"/>
        <v/>
      </c>
      <c r="J28" s="56" t="str">
        <f t="shared" si="8"/>
        <v/>
      </c>
      <c r="K28" s="52" t="str">
        <f t="shared" si="0"/>
        <v/>
      </c>
      <c r="L28" s="17" t="str">
        <f t="shared" si="17"/>
        <v/>
      </c>
      <c r="M28" s="18" t="str">
        <f t="shared" si="9"/>
        <v/>
      </c>
      <c r="N28" s="53" t="str">
        <f t="shared" si="1"/>
        <v/>
      </c>
      <c r="O28" s="58" t="str">
        <f t="shared" si="10"/>
        <v/>
      </c>
      <c r="P28" s="102" t="str">
        <f t="shared" si="11"/>
        <v/>
      </c>
      <c r="U28" s="144" t="str">
        <f t="shared" si="12"/>
        <v/>
      </c>
      <c r="V28" s="144" t="str">
        <f t="shared" si="13"/>
        <v/>
      </c>
      <c r="W28" s="7" t="str">
        <f t="shared" si="14"/>
        <v/>
      </c>
      <c r="X28" s="7" t="str">
        <f t="shared" si="15"/>
        <v/>
      </c>
      <c r="Y28" s="7" t="str">
        <f t="shared" si="16"/>
        <v/>
      </c>
      <c r="Z28" s="7"/>
      <c r="AA28" s="7"/>
      <c r="AB28" s="7"/>
    </row>
    <row r="29" spans="1:30" x14ac:dyDescent="0.2">
      <c r="B29" s="149"/>
      <c r="C29" s="145"/>
      <c r="D29" s="146"/>
      <c r="E29" s="147"/>
      <c r="F29" s="145"/>
      <c r="G29" s="148"/>
      <c r="I29" s="93" t="str">
        <f t="shared" si="7"/>
        <v/>
      </c>
      <c r="J29" s="56" t="str">
        <f t="shared" si="8"/>
        <v/>
      </c>
      <c r="K29" s="52" t="str">
        <f t="shared" si="0"/>
        <v/>
      </c>
      <c r="L29" s="17" t="str">
        <f t="shared" si="17"/>
        <v/>
      </c>
      <c r="M29" s="18" t="str">
        <f t="shared" si="9"/>
        <v/>
      </c>
      <c r="N29" s="53" t="str">
        <f t="shared" si="1"/>
        <v/>
      </c>
      <c r="O29" s="58" t="str">
        <f t="shared" si="10"/>
        <v/>
      </c>
      <c r="P29" s="102" t="str">
        <f t="shared" si="11"/>
        <v/>
      </c>
      <c r="U29" s="144" t="str">
        <f t="shared" si="12"/>
        <v/>
      </c>
      <c r="V29" s="144" t="str">
        <f t="shared" si="13"/>
        <v/>
      </c>
      <c r="W29" s="7" t="str">
        <f t="shared" si="14"/>
        <v/>
      </c>
      <c r="X29" s="7" t="str">
        <f t="shared" si="15"/>
        <v/>
      </c>
      <c r="Y29" s="7" t="str">
        <f t="shared" si="16"/>
        <v/>
      </c>
      <c r="Z29" s="7"/>
      <c r="AA29" s="7"/>
      <c r="AB29" s="7"/>
    </row>
    <row r="30" spans="1:30" x14ac:dyDescent="0.2">
      <c r="B30" s="90"/>
      <c r="C30" s="25"/>
      <c r="D30" s="133"/>
      <c r="E30" s="26"/>
      <c r="F30" s="25"/>
      <c r="G30" s="27"/>
      <c r="I30" s="94" t="s">
        <v>163</v>
      </c>
      <c r="J30" s="60" t="str">
        <f t="shared" si="8"/>
        <v/>
      </c>
      <c r="K30" s="61" t="str">
        <f t="shared" si="0"/>
        <v/>
      </c>
      <c r="L30" s="28" t="str">
        <f t="shared" si="17"/>
        <v/>
      </c>
      <c r="M30" s="29" t="str">
        <f t="shared" si="9"/>
        <v/>
      </c>
      <c r="N30" s="62" t="str">
        <f t="shared" si="1"/>
        <v/>
      </c>
      <c r="O30" s="63" t="str">
        <f t="shared" si="10"/>
        <v/>
      </c>
      <c r="P30" s="103" t="str">
        <f t="shared" si="11"/>
        <v/>
      </c>
      <c r="R30" s="64"/>
      <c r="U30" s="48" t="str">
        <f t="shared" si="12"/>
        <v/>
      </c>
      <c r="V30" s="48" t="str">
        <f t="shared" si="13"/>
        <v/>
      </c>
      <c r="W30" s="7" t="str">
        <f t="shared" si="14"/>
        <v/>
      </c>
      <c r="X30" s="7" t="str">
        <f t="shared" si="15"/>
        <v/>
      </c>
      <c r="Y30" s="7" t="str">
        <f t="shared" si="16"/>
        <v/>
      </c>
      <c r="Z30" s="7"/>
      <c r="AA30" s="7"/>
      <c r="AB30" s="7"/>
    </row>
    <row r="31" spans="1:30" x14ac:dyDescent="0.2">
      <c r="B31" s="65"/>
      <c r="C31" s="66"/>
      <c r="D31" s="67"/>
      <c r="E31" s="67"/>
      <c r="F31" s="66"/>
      <c r="G31" s="67"/>
      <c r="H31" s="157" t="s">
        <v>175</v>
      </c>
      <c r="I31" s="156">
        <f>AVERAGE(I22:I27)</f>
        <v>1080</v>
      </c>
      <c r="J31" s="30"/>
      <c r="K31" s="30"/>
      <c r="L31" s="64"/>
      <c r="M31" s="64"/>
      <c r="R31" s="64"/>
      <c r="W31" s="7">
        <f>AVERAGE(W22:W30)</f>
        <v>33.802014749693555</v>
      </c>
      <c r="X31" s="7">
        <f>+SUM(X22:X30)</f>
        <v>8.0793656550520474</v>
      </c>
      <c r="Y31" s="7">
        <f>+SUM(Y22:Y30)</f>
        <v>5868000</v>
      </c>
      <c r="Z31" s="7"/>
      <c r="AA31" s="7"/>
      <c r="AB31" s="7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3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U33" s="129"/>
      <c r="V33" s="128"/>
    </row>
    <row r="34" spans="1:31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 t="s">
        <v>161</v>
      </c>
      <c r="M34" s="31"/>
      <c r="N34" s="31"/>
      <c r="O34" s="31"/>
      <c r="P34" s="31"/>
      <c r="Q34" s="31"/>
      <c r="R34" s="31"/>
      <c r="S34" s="31"/>
      <c r="U34" s="129"/>
      <c r="V34" s="127"/>
      <c r="W34" s="127"/>
    </row>
    <row r="35" spans="1:31" x14ac:dyDescent="0.2">
      <c r="A35" s="31"/>
      <c r="B35" s="185" t="s">
        <v>53</v>
      </c>
      <c r="C35" s="186"/>
      <c r="D35" s="70">
        <f>IF(S24="","",+S24)</f>
        <v>0.99673913785786472</v>
      </c>
      <c r="E35" s="210" t="s">
        <v>165</v>
      </c>
      <c r="F35" s="211"/>
      <c r="G35" s="69" t="str">
        <f>IF(D35="","",IF(D35&lt;0.99,"NO","YES"))</f>
        <v>YES</v>
      </c>
      <c r="H35" s="31"/>
      <c r="I35" s="31"/>
      <c r="J35" s="31"/>
      <c r="K35" s="33" t="s">
        <v>55</v>
      </c>
      <c r="L35" s="35"/>
      <c r="M35" s="31"/>
      <c r="N35" s="31"/>
      <c r="O35" s="31"/>
      <c r="P35" s="31"/>
      <c r="Q35" s="31"/>
      <c r="R35" s="31"/>
      <c r="S35" s="31"/>
      <c r="U35" s="3" t="s">
        <v>56</v>
      </c>
      <c r="V35" s="100">
        <f>+IF(C11="mg/kg",D48/1000000,IF(C11="ug/kg",D48/1000000000))</f>
        <v>1.2520850274980122E-6</v>
      </c>
      <c r="W35" s="128"/>
      <c r="AE35" s="111"/>
    </row>
    <row r="36" spans="1:31" ht="15.75" x14ac:dyDescent="0.25">
      <c r="A36" s="31"/>
      <c r="B36" s="196" t="s">
        <v>57</v>
      </c>
      <c r="C36" s="197"/>
      <c r="D36" s="71">
        <f>IF(S22="","",+MAX(U23:U30))</f>
        <v>3.7836845383088805E-2</v>
      </c>
      <c r="E36" s="72" t="s">
        <v>58</v>
      </c>
      <c r="F36" s="73">
        <f>IF(S22="","",40%)</f>
        <v>0.4</v>
      </c>
      <c r="G36" s="74" t="str">
        <f>+IF(D36="","",(IF(D36&gt;F36,"NO","YES")))</f>
        <v>YES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31" ht="15.75" x14ac:dyDescent="0.25">
      <c r="A37" s="31"/>
      <c r="B37" s="198" t="s">
        <v>59</v>
      </c>
      <c r="C37" s="199"/>
      <c r="D37" s="76">
        <f>IF(S22="","",+MAX(V23:V30))</f>
        <v>1.6174710456960124E-3</v>
      </c>
      <c r="E37" s="82" t="s">
        <v>58</v>
      </c>
      <c r="F37" s="83">
        <v>0.01</v>
      </c>
      <c r="G37" s="34" t="str">
        <f>+IF(D37="","",IF(D37&gt;1%,"NO","YES"))</f>
        <v>YES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3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31" x14ac:dyDescent="0.2">
      <c r="A39" s="31"/>
      <c r="B39" s="140"/>
      <c r="C39" s="140"/>
      <c r="D39" s="78"/>
      <c r="E39" s="72"/>
      <c r="F39" s="75"/>
      <c r="G39" s="140"/>
      <c r="H39" s="31"/>
      <c r="I39" s="31"/>
      <c r="J39" s="31"/>
      <c r="K39" s="33" t="s">
        <v>167</v>
      </c>
      <c r="L39" s="31"/>
      <c r="M39" s="31"/>
      <c r="N39" s="31"/>
      <c r="O39" s="31"/>
      <c r="P39" s="31"/>
      <c r="Q39" s="31"/>
      <c r="R39" s="31"/>
      <c r="S39" s="31"/>
    </row>
    <row r="40" spans="1:31" ht="15.75" x14ac:dyDescent="0.25">
      <c r="A40" s="31"/>
      <c r="B40" s="79" t="s">
        <v>62</v>
      </c>
      <c r="C40" s="139"/>
      <c r="D40" s="81"/>
      <c r="E40" s="82"/>
      <c r="F40" s="83"/>
      <c r="G40" s="139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31" ht="15.75" x14ac:dyDescent="0.25">
      <c r="A41" s="31"/>
      <c r="B41" s="185" t="s">
        <v>182</v>
      </c>
      <c r="C41" s="200"/>
      <c r="D41" s="84">
        <f>IF(M22="","",IF(M22="","",(U22)))</f>
        <v>2.1075657517272459E-2</v>
      </c>
      <c r="E41" s="85" t="s">
        <v>58</v>
      </c>
      <c r="F41" s="73">
        <f>IF(S22="","",40%)</f>
        <v>0.4</v>
      </c>
      <c r="G41" s="69" t="str">
        <f>IF(F41="","",IF(D41="","",IF(D41&lt;F41,"YES","NO")))</f>
        <v>YES</v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31" ht="15.75" x14ac:dyDescent="0.25">
      <c r="A42" s="31"/>
      <c r="B42" s="196" t="s">
        <v>184</v>
      </c>
      <c r="C42" s="202"/>
      <c r="D42" s="71">
        <f>IF(K22="","",IF(J22="","",(V22)))</f>
        <v>1.6174710456960124E-3</v>
      </c>
      <c r="E42" s="72" t="s">
        <v>58</v>
      </c>
      <c r="F42" s="75">
        <v>0.01</v>
      </c>
      <c r="G42" s="74" t="str">
        <f>IF(F42="","",IF(D42="","",IF(D42&lt;=F42,"YES","NO")))</f>
        <v>YES</v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31" ht="19.5" x14ac:dyDescent="0.35">
      <c r="A43" s="31"/>
      <c r="B43" s="204" t="s">
        <v>164</v>
      </c>
      <c r="C43" s="205"/>
      <c r="D43" s="104">
        <f>AB22</f>
        <v>120.18725383535275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31" ht="21" x14ac:dyDescent="0.35">
      <c r="A44" s="31"/>
      <c r="B44" s="196" t="s">
        <v>66</v>
      </c>
      <c r="C44" s="203"/>
      <c r="D44" s="76">
        <f>IF(D48="","",D43/D48)</f>
        <v>9.5989690153485643E-2</v>
      </c>
      <c r="E44" s="82" t="s">
        <v>67</v>
      </c>
      <c r="F44" s="75">
        <f>IF(D48="","",IF(V35&lt;0.00000001,20%,IF(V35&lt;0.00000012,17%,IF(V35&lt;0.000001,15%,11%))))</f>
        <v>0.11</v>
      </c>
      <c r="G44" s="74" t="str">
        <f>IF(F44="","",IF(D44="","",IF(D44&lt;F44,"YES","NO")))</f>
        <v>YES</v>
      </c>
      <c r="H44" s="98" t="str">
        <f>+IF(G44="","",IF(G44="YES","→  CCα_max= ",""))</f>
        <v xml:space="preserve">→  CCα_max= </v>
      </c>
      <c r="I44" s="31"/>
      <c r="J44" s="125">
        <f>+IF(G44="","",IF(G44="NO","",IF(G44="YES",IF(AND(C11="ug/kg",C10&lt;10),C10+1.64*0.3*C10,IF(C10&lt;=120,C10+1.64*0.25*C10,IF(C10&lt;=1000,C10+1.64*0.22*C10,IF(C10&gt;1000,C10+1.64*0.16*C10)))))))</f>
        <v>1088.6399999999999</v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31" x14ac:dyDescent="0.2">
      <c r="A45" s="31"/>
      <c r="B45" s="206"/>
      <c r="C45" s="206"/>
      <c r="D45" s="207"/>
      <c r="E45" s="207"/>
      <c r="F45" s="123"/>
      <c r="G45" s="142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31" x14ac:dyDescent="0.2">
      <c r="A46" s="31"/>
      <c r="B46" s="207"/>
      <c r="C46" s="207"/>
      <c r="D46" s="121"/>
      <c r="E46" s="119"/>
      <c r="F46" s="122"/>
      <c r="G46" s="141"/>
      <c r="H46" s="31"/>
      <c r="I46" s="31"/>
      <c r="J46" s="31"/>
      <c r="K46" s="33" t="s">
        <v>167</v>
      </c>
      <c r="L46" s="31"/>
      <c r="M46" s="31"/>
      <c r="N46" s="31"/>
      <c r="O46" s="31"/>
      <c r="P46" s="31"/>
      <c r="Q46" s="31"/>
      <c r="R46" s="31"/>
      <c r="S46" s="31"/>
    </row>
    <row r="47" spans="1:31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31" ht="15.75" x14ac:dyDescent="0.25">
      <c r="A48" s="31"/>
      <c r="B48" s="140"/>
      <c r="C48" s="88" t="str">
        <f>+"Calculated concentration ("&amp;$C$11&amp;"): "</f>
        <v xml:space="preserve">Calculated concentration (ug/kg): </v>
      </c>
      <c r="D48" s="106">
        <f>IF(G41="","",IF(G42="","",+S23/S22))</f>
        <v>1252.0850274980123</v>
      </c>
      <c r="E48" s="140"/>
      <c r="F48" s="88" t="s">
        <v>71</v>
      </c>
      <c r="G48" s="194" t="str">
        <f>+IF(L34="","",IF(L34="NO","REPEAT",IF(D48="","COMPLIANT",IF(G41="NO","COMPLIANT",IF(AND(G44="NO",D48&lt;C10),"COMPLIANT",IF(AND(G44="NO",D48&gt;C10),"CHECK EGL",IF(G42="NO","COMPLIANT",IF(D48&gt;J44,"NON COMPLIANT","COMPLIANT"))))))))</f>
        <v>NON COMPLIANT</v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ht="15.75" x14ac:dyDescent="0.25">
      <c r="A49" s="31"/>
      <c r="B49" s="202"/>
      <c r="C49" s="202"/>
      <c r="D49" s="169" t="s">
        <v>181</v>
      </c>
      <c r="E49" s="202"/>
      <c r="F49" s="202"/>
      <c r="G49" s="140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/>
    </row>
    <row r="56" spans="1:19" x14ac:dyDescent="0.2">
      <c r="B56" s="172"/>
      <c r="C56" s="172"/>
    </row>
    <row r="57" spans="1:19" x14ac:dyDescent="0.2">
      <c r="B57" s="170">
        <f>B22</f>
        <v>0</v>
      </c>
      <c r="C57" s="171">
        <f>L22</f>
        <v>16.516148325358852</v>
      </c>
    </row>
    <row r="58" spans="1:19" x14ac:dyDescent="0.2">
      <c r="B58" s="170">
        <f>B23</f>
        <v>300</v>
      </c>
      <c r="C58" s="171">
        <f t="shared" ref="C58:C65" si="18">L23</f>
        <v>22.710342534087129</v>
      </c>
    </row>
    <row r="59" spans="1:19" x14ac:dyDescent="0.2">
      <c r="B59" s="170">
        <f t="shared" ref="B59:B65" si="19">B24</f>
        <v>600</v>
      </c>
      <c r="C59" s="171">
        <f t="shared" si="18"/>
        <v>27.426422498364943</v>
      </c>
    </row>
    <row r="60" spans="1:19" x14ac:dyDescent="0.2">
      <c r="B60" s="170">
        <f t="shared" si="19"/>
        <v>1500</v>
      </c>
      <c r="C60" s="171">
        <f t="shared" si="18"/>
        <v>41.837878221890179</v>
      </c>
    </row>
    <row r="61" spans="1:19" x14ac:dyDescent="0.2">
      <c r="B61" s="170">
        <f t="shared" si="19"/>
        <v>3000</v>
      </c>
      <c r="C61" s="171">
        <f t="shared" si="18"/>
        <v>60.519282168766708</v>
      </c>
    </row>
    <row r="62" spans="1:19" x14ac:dyDescent="0.2">
      <c r="B62" s="170">
        <f t="shared" si="19"/>
        <v>0</v>
      </c>
      <c r="C62" s="171" t="str">
        <f t="shared" si="18"/>
        <v/>
      </c>
    </row>
    <row r="63" spans="1:19" x14ac:dyDescent="0.2">
      <c r="B63" s="170">
        <f t="shared" si="19"/>
        <v>0</v>
      </c>
      <c r="C63" s="171" t="str">
        <f t="shared" si="18"/>
        <v/>
      </c>
    </row>
    <row r="64" spans="1:19" x14ac:dyDescent="0.2">
      <c r="B64" s="170">
        <f t="shared" si="19"/>
        <v>0</v>
      </c>
      <c r="C64" s="171" t="str">
        <f t="shared" si="18"/>
        <v/>
      </c>
    </row>
    <row r="65" spans="2:3" x14ac:dyDescent="0.2">
      <c r="B65" s="170">
        <f t="shared" si="19"/>
        <v>0</v>
      </c>
      <c r="C65" s="171" t="str">
        <f t="shared" si="18"/>
        <v/>
      </c>
    </row>
    <row r="66" spans="2:3" x14ac:dyDescent="0.2">
      <c r="B66" s="170"/>
      <c r="C66" s="171"/>
    </row>
    <row r="67" spans="2:3" x14ac:dyDescent="0.2">
      <c r="B67" s="170"/>
      <c r="C67" s="171"/>
    </row>
    <row r="68" spans="2:3" x14ac:dyDescent="0.2">
      <c r="B68" s="126"/>
      <c r="C68" s="134"/>
    </row>
    <row r="69" spans="2:3" x14ac:dyDescent="0.2">
      <c r="C69" s="134"/>
    </row>
    <row r="70" spans="2:3" x14ac:dyDescent="0.2">
      <c r="C70" s="134"/>
    </row>
    <row r="71" spans="2:3" x14ac:dyDescent="0.2">
      <c r="C71" s="134"/>
    </row>
  </sheetData>
  <sheetProtection autoFilter="0"/>
  <mergeCells count="28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G48:H48"/>
    <mergeCell ref="B49:C49"/>
    <mergeCell ref="E49:F49"/>
    <mergeCell ref="B52:S52"/>
    <mergeCell ref="B43:C43"/>
    <mergeCell ref="B44:C44"/>
    <mergeCell ref="B45:C45"/>
    <mergeCell ref="D45:E45"/>
    <mergeCell ref="B46:C46"/>
    <mergeCell ref="B47:C47"/>
  </mergeCells>
  <dataValidations count="1">
    <dataValidation type="list" allowBlank="1" showInputMessage="1" showErrorMessage="1" sqref="C11" xr:uid="{55EF1C08-EB1C-44B8-87BC-0208E588E667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4E73-C7D0-491F-908F-DB6F1E3DD0E1}">
  <sheetPr>
    <pageSetUpPr fitToPage="1"/>
  </sheetPr>
  <dimension ref="A1:AE71"/>
  <sheetViews>
    <sheetView zoomScale="70" zoomScaleNormal="70" zoomScaleSheetLayoutView="70" zoomScalePageLayoutView="40" workbookViewId="0">
      <selection activeCell="B43" sqref="B43:C43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22.5703125" style="3" customWidth="1"/>
    <col min="22" max="22" width="23.5703125" style="3" customWidth="1"/>
    <col min="23" max="23" width="17.5703125" style="3" customWidth="1"/>
    <col min="24" max="24" width="19.28515625" style="3" bestFit="1" customWidth="1"/>
    <col min="25" max="25" width="16.28515625" style="3" bestFit="1" customWidth="1"/>
    <col min="26" max="26" width="21" style="3" bestFit="1" customWidth="1"/>
    <col min="27" max="27" width="9.28515625" style="3" bestFit="1" customWidth="1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/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159</v>
      </c>
      <c r="C3" s="1"/>
      <c r="D3" s="1"/>
      <c r="F3" s="1"/>
      <c r="G3" s="1"/>
      <c r="H3" s="1"/>
      <c r="I3" s="1"/>
      <c r="J3" s="1"/>
      <c r="K3" s="1"/>
      <c r="U3" s="129"/>
    </row>
    <row r="4" spans="1:21" x14ac:dyDescent="0.2">
      <c r="A4" s="1"/>
      <c r="E4" s="1"/>
      <c r="F4" s="1"/>
      <c r="G4" s="1"/>
      <c r="H4" s="1"/>
      <c r="I4" s="1"/>
      <c r="J4" s="1"/>
      <c r="K4" s="1"/>
      <c r="U4" s="129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/>
      <c r="D6" s="1"/>
      <c r="E6" s="1" t="s">
        <v>162</v>
      </c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/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/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/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171</v>
      </c>
      <c r="C10" s="9"/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/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166</v>
      </c>
      <c r="C18" s="175"/>
      <c r="D18" s="176"/>
      <c r="E18" s="1"/>
      <c r="G18" s="1"/>
      <c r="H18" s="1"/>
      <c r="I18" s="1"/>
      <c r="L18" s="1"/>
      <c r="M18" s="1"/>
      <c r="N18" s="1"/>
      <c r="O18" s="1"/>
    </row>
    <row r="19" spans="1:30" ht="38.25" x14ac:dyDescent="0.35">
      <c r="A19" s="1"/>
      <c r="I19" s="95"/>
      <c r="W19" s="143" t="s">
        <v>176</v>
      </c>
      <c r="X19" s="143" t="s">
        <v>177</v>
      </c>
      <c r="Y19" s="151" t="s">
        <v>172</v>
      </c>
      <c r="Z19" s="150"/>
      <c r="AA19" s="153" t="s">
        <v>174</v>
      </c>
      <c r="AB19" s="150"/>
    </row>
    <row r="20" spans="1:30" ht="15.75" x14ac:dyDescent="0.25">
      <c r="B20" s="41" t="s">
        <v>18</v>
      </c>
      <c r="C20" s="177" t="s">
        <v>19</v>
      </c>
      <c r="D20" s="179" t="s">
        <v>168</v>
      </c>
      <c r="E20" s="179" t="s">
        <v>169</v>
      </c>
      <c r="F20" s="177" t="s">
        <v>22</v>
      </c>
      <c r="G20" s="208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113" t="s">
        <v>29</v>
      </c>
      <c r="P20" s="43"/>
      <c r="R20" s="7"/>
      <c r="S20" s="115" t="s">
        <v>30</v>
      </c>
    </row>
    <row r="21" spans="1:30" ht="19.5" x14ac:dyDescent="0.35">
      <c r="B21" s="44" t="str">
        <f>+"("&amp;$C$11&amp;")"</f>
        <v>(ug/kg)</v>
      </c>
      <c r="C21" s="178"/>
      <c r="D21" s="180"/>
      <c r="E21" s="180"/>
      <c r="F21" s="178"/>
      <c r="G21" s="209"/>
      <c r="I21" s="23" t="str">
        <f>+"("&amp;$C$11&amp;")"</f>
        <v>(ug/kg)</v>
      </c>
      <c r="J21" s="178"/>
      <c r="K21" s="114" t="s">
        <v>31</v>
      </c>
      <c r="L21" s="178"/>
      <c r="M21" s="184"/>
      <c r="N21" s="46" t="s">
        <v>31</v>
      </c>
      <c r="O21" s="114" t="s">
        <v>32</v>
      </c>
      <c r="P21" s="116" t="s">
        <v>33</v>
      </c>
      <c r="R21" s="152" t="s">
        <v>173</v>
      </c>
      <c r="S21" s="116"/>
      <c r="U21" s="144" t="s">
        <v>179</v>
      </c>
      <c r="V21" s="144" t="s">
        <v>180</v>
      </c>
      <c r="W21" s="7" t="s">
        <v>36</v>
      </c>
      <c r="X21" s="7" t="s">
        <v>37</v>
      </c>
      <c r="Y21" s="7" t="s">
        <v>38</v>
      </c>
      <c r="Z21" s="7" t="s">
        <v>39</v>
      </c>
      <c r="AA21" s="7" t="s">
        <v>40</v>
      </c>
      <c r="AB21" s="7" t="s">
        <v>164</v>
      </c>
      <c r="AC21" s="132"/>
      <c r="AD21" s="132"/>
    </row>
    <row r="22" spans="1:30" x14ac:dyDescent="0.2">
      <c r="B22" s="166"/>
      <c r="C22" s="14"/>
      <c r="D22" s="50"/>
      <c r="E22" s="15"/>
      <c r="F22" s="14"/>
      <c r="G22" s="16"/>
      <c r="I22" s="93" t="str">
        <f>+IF(B22="","",B22)</f>
        <v/>
      </c>
      <c r="J22" s="51" t="str">
        <f>+IF(B22="","",(IF(F22="","",(C22/F22))))</f>
        <v/>
      </c>
      <c r="K22" s="52" t="str">
        <f t="shared" ref="K22:K30" si="0">+IF(J22="","",((((J22-(AVERAGE(J$24:J$30)))/(AVERAGE(J$24:J$30))))))</f>
        <v/>
      </c>
      <c r="L22" s="12" t="str">
        <f>+IF(B22="","",(IF(G22="","",IF(I22="","",((D22)/(G22))))))</f>
        <v/>
      </c>
      <c r="M22" s="13" t="str">
        <f>IF(I22="","",IF(OR(B22="",E22="",G22=""),"",E22/D22))</f>
        <v/>
      </c>
      <c r="N22" s="53" t="str">
        <f t="shared" ref="N22:N30" si="1">+IF(M22="","",((((M22-(AVERAGE(M$24:M$30))))/(AVERAGE(M$24:M$30)))))</f>
        <v/>
      </c>
      <c r="O22" s="54"/>
      <c r="P22" s="115"/>
      <c r="R22" s="19" t="s">
        <v>44</v>
      </c>
      <c r="S22" s="112" t="str">
        <f>IF(COUNT(L22:L30)&gt;0,SLOPE(L22:L30,I22:I30),"")</f>
        <v/>
      </c>
      <c r="U22" s="144" t="str">
        <f t="shared" ref="U22:U23" si="2">IF(N22="","",(ABS(N22)))</f>
        <v/>
      </c>
      <c r="V22" s="144" t="str">
        <f t="shared" ref="V22:V23" si="3">IF(K22="","",(ABS(K22)))</f>
        <v/>
      </c>
      <c r="W22" s="7" t="str">
        <f>IF(I22="","",+$S$22*I22+$S$23)</f>
        <v/>
      </c>
      <c r="X22" s="7" t="str">
        <f>IF(I22="","",(L22-W22)^2)</f>
        <v/>
      </c>
      <c r="Y22" s="7" t="str">
        <f>IF(I22="","",(I22-AVERAGE($I$22:$I$30))^2)</f>
        <v/>
      </c>
      <c r="Z22" s="30" t="e">
        <f>+AVERAGE(L22:L30)</f>
        <v>#DIV/0!</v>
      </c>
      <c r="AA22" s="7">
        <f>+SQRT(X31/(COUNT(I22:I30)-2))</f>
        <v>0</v>
      </c>
      <c r="AB22" s="30" t="e">
        <f>(AA22/S22)*SQRT(1/(COUNT(I22:I30))+((Z22^2)/(S22^2*Y31)))</f>
        <v>#VALUE!</v>
      </c>
      <c r="AC22" s="132"/>
      <c r="AD22" s="132"/>
    </row>
    <row r="23" spans="1:30" x14ac:dyDescent="0.2">
      <c r="B23" s="167"/>
      <c r="C23" s="14"/>
      <c r="D23" s="50"/>
      <c r="E23" s="15"/>
      <c r="F23" s="14"/>
      <c r="G23" s="16"/>
      <c r="I23" s="93" t="str">
        <f>+IF(B23="","",B23)</f>
        <v/>
      </c>
      <c r="J23" s="56" t="str">
        <f>+IF(B23="","",(IF(F23="","",(C23/F23))))</f>
        <v/>
      </c>
      <c r="K23" s="52" t="str">
        <f t="shared" si="0"/>
        <v/>
      </c>
      <c r="L23" s="17" t="str">
        <f>+IF(B23="","",(IF(G23="","",IF(I23="","",((D23)/(G23))))))</f>
        <v/>
      </c>
      <c r="M23" s="18" t="str">
        <f>IF(I23="","",IF(OR(B23="",E23="",G23=""),"",E23/D23))</f>
        <v/>
      </c>
      <c r="N23" s="53" t="str">
        <f t="shared" si="1"/>
        <v/>
      </c>
      <c r="O23" s="54"/>
      <c r="P23" s="57"/>
      <c r="R23" s="21" t="s">
        <v>45</v>
      </c>
      <c r="S23" s="22" t="str">
        <f>IF(S22="","",INTERCEPT(L22:L30,I22:I30))</f>
        <v/>
      </c>
      <c r="U23" s="144" t="str">
        <f t="shared" si="2"/>
        <v/>
      </c>
      <c r="V23" s="144" t="str">
        <f t="shared" si="3"/>
        <v/>
      </c>
      <c r="W23" s="7" t="str">
        <f t="shared" ref="W23" si="4">IF(I23="","",+$S$22*I23+$S$23)</f>
        <v/>
      </c>
      <c r="X23" s="7" t="str">
        <f t="shared" ref="X23" si="5">IF(I23="","",(L23-W23)^2)</f>
        <v/>
      </c>
      <c r="Y23" s="7" t="str">
        <f t="shared" ref="Y23" si="6">IF(I23="","",(I23-AVERAGE($I$22:$I$30))^2)</f>
        <v/>
      </c>
      <c r="Z23" s="7"/>
      <c r="AA23" s="7"/>
      <c r="AB23" s="7"/>
      <c r="AC23" s="7"/>
      <c r="AD23" s="7"/>
    </row>
    <row r="24" spans="1:30" x14ac:dyDescent="0.2">
      <c r="B24" s="89"/>
      <c r="C24" s="14"/>
      <c r="D24" s="50"/>
      <c r="E24" s="15"/>
      <c r="F24" s="14"/>
      <c r="G24" s="16"/>
      <c r="I24" s="93" t="str">
        <f t="shared" ref="I24:I29" si="7">+IF(B24="","",B24)</f>
        <v/>
      </c>
      <c r="J24" s="56" t="str">
        <f t="shared" ref="J24:J30" si="8">+IF(B24="","",(IF(F24="","",(C24/F24))))</f>
        <v/>
      </c>
      <c r="K24" s="52" t="str">
        <f t="shared" si="0"/>
        <v/>
      </c>
      <c r="L24" s="17" t="str">
        <f>+IF(B24="","",(IF(G24="","",IF(I24="","",((D24)/(G24))))))</f>
        <v/>
      </c>
      <c r="M24" s="18" t="str">
        <f t="shared" ref="M24:M30" si="9">IF(I24="","",IF(OR(B24="",E24="",G24=""),"",E24/D24))</f>
        <v/>
      </c>
      <c r="N24" s="53" t="str">
        <f t="shared" si="1"/>
        <v/>
      </c>
      <c r="O24" s="58" t="str">
        <f t="shared" ref="O24:O30" si="10">IF(L24="","",(L24-$S$23)/$S$22)</f>
        <v/>
      </c>
      <c r="P24" s="102" t="str">
        <f t="shared" ref="P24:P30" si="11">IF(O24="","",+O24/B24)</f>
        <v/>
      </c>
      <c r="R24" s="23" t="s">
        <v>46</v>
      </c>
      <c r="S24" s="24" t="str">
        <f>IF(S22="","",CORREL(L22:L30,I22:I30))</f>
        <v/>
      </c>
      <c r="U24" s="144" t="str">
        <f t="shared" ref="U24:U30" si="12">IF(N24="","",(ABS(N24)))</f>
        <v/>
      </c>
      <c r="V24" s="144" t="str">
        <f t="shared" ref="V24:V30" si="13">IF(K24="","",(ABS(K24)))</f>
        <v/>
      </c>
      <c r="W24" s="7" t="str">
        <f t="shared" ref="W24:W30" si="14">IF(I24="","",+$S$22*I24+$S$23)</f>
        <v/>
      </c>
      <c r="X24" s="7" t="str">
        <f t="shared" ref="X24:X30" si="15">IF(I24="","",(L24-W24)^2)</f>
        <v/>
      </c>
      <c r="Y24" s="7" t="str">
        <f t="shared" ref="Y24:Y30" si="16">IF(I24="","",(I24-AVERAGE($I$22:$I$30))^2)</f>
        <v/>
      </c>
      <c r="Z24" s="132"/>
      <c r="AA24" s="7"/>
      <c r="AB24" s="7"/>
      <c r="AC24" s="7"/>
      <c r="AD24" s="7"/>
    </row>
    <row r="25" spans="1:30" x14ac:dyDescent="0.2">
      <c r="B25" s="89"/>
      <c r="C25" s="14"/>
      <c r="D25" s="50"/>
      <c r="E25" s="15"/>
      <c r="F25" s="14"/>
      <c r="G25" s="16"/>
      <c r="I25" s="93" t="str">
        <f t="shared" si="7"/>
        <v/>
      </c>
      <c r="J25" s="56" t="str">
        <f t="shared" si="8"/>
        <v/>
      </c>
      <c r="K25" s="52" t="str">
        <f t="shared" si="0"/>
        <v/>
      </c>
      <c r="L25" s="17" t="str">
        <f t="shared" ref="L25:L30" si="17">+IF(B25="","",(IF(G25="","",IF(I25="","",((D25)/(G25))))))</f>
        <v/>
      </c>
      <c r="M25" s="18" t="str">
        <f t="shared" si="9"/>
        <v/>
      </c>
      <c r="N25" s="53" t="str">
        <f t="shared" si="1"/>
        <v/>
      </c>
      <c r="O25" s="58" t="str">
        <f t="shared" si="10"/>
        <v/>
      </c>
      <c r="P25" s="102" t="str">
        <f t="shared" si="11"/>
        <v/>
      </c>
      <c r="Q25" s="7"/>
      <c r="R25" s="30"/>
      <c r="U25" s="144" t="str">
        <f t="shared" si="12"/>
        <v/>
      </c>
      <c r="V25" s="144" t="str">
        <f t="shared" si="13"/>
        <v/>
      </c>
      <c r="W25" s="7" t="str">
        <f t="shared" si="14"/>
        <v/>
      </c>
      <c r="X25" s="7" t="str">
        <f t="shared" si="15"/>
        <v/>
      </c>
      <c r="Y25" s="7" t="str">
        <f t="shared" si="16"/>
        <v/>
      </c>
      <c r="Z25" s="7"/>
      <c r="AA25" s="7"/>
      <c r="AB25" s="7"/>
      <c r="AC25" s="7"/>
      <c r="AD25" s="7"/>
    </row>
    <row r="26" spans="1:30" x14ac:dyDescent="0.2">
      <c r="B26" s="89"/>
      <c r="C26" s="14"/>
      <c r="D26" s="50"/>
      <c r="E26" s="15"/>
      <c r="F26" s="14"/>
      <c r="G26" s="16"/>
      <c r="I26" s="93" t="str">
        <f t="shared" si="7"/>
        <v/>
      </c>
      <c r="J26" s="56" t="str">
        <f t="shared" si="8"/>
        <v/>
      </c>
      <c r="K26" s="52" t="str">
        <f t="shared" si="0"/>
        <v/>
      </c>
      <c r="L26" s="17" t="str">
        <f t="shared" si="17"/>
        <v/>
      </c>
      <c r="M26" s="18" t="str">
        <f t="shared" si="9"/>
        <v/>
      </c>
      <c r="N26" s="53" t="str">
        <f t="shared" si="1"/>
        <v/>
      </c>
      <c r="O26" s="58" t="str">
        <f t="shared" si="10"/>
        <v/>
      </c>
      <c r="P26" s="102" t="str">
        <f t="shared" si="11"/>
        <v/>
      </c>
      <c r="Q26" s="7"/>
      <c r="R26" s="30"/>
      <c r="U26" s="144" t="str">
        <f t="shared" si="12"/>
        <v/>
      </c>
      <c r="V26" s="144" t="str">
        <f t="shared" si="13"/>
        <v/>
      </c>
      <c r="W26" s="7" t="str">
        <f t="shared" si="14"/>
        <v/>
      </c>
      <c r="X26" s="7" t="str">
        <f t="shared" si="15"/>
        <v/>
      </c>
      <c r="Y26" s="7" t="str">
        <f t="shared" si="16"/>
        <v/>
      </c>
      <c r="Z26" s="7"/>
      <c r="AA26" s="7"/>
      <c r="AB26" s="7"/>
      <c r="AC26" s="7"/>
      <c r="AD26" s="7"/>
    </row>
    <row r="27" spans="1:30" x14ac:dyDescent="0.2">
      <c r="B27" s="89"/>
      <c r="C27" s="14"/>
      <c r="D27" s="50"/>
      <c r="E27" s="15"/>
      <c r="F27" s="14"/>
      <c r="G27" s="16"/>
      <c r="I27" s="93" t="str">
        <f t="shared" si="7"/>
        <v/>
      </c>
      <c r="J27" s="56" t="str">
        <f t="shared" si="8"/>
        <v/>
      </c>
      <c r="K27" s="52" t="str">
        <f t="shared" si="0"/>
        <v/>
      </c>
      <c r="L27" s="17" t="str">
        <f t="shared" si="17"/>
        <v/>
      </c>
      <c r="M27" s="18" t="str">
        <f t="shared" si="9"/>
        <v/>
      </c>
      <c r="N27" s="53" t="str">
        <f t="shared" si="1"/>
        <v/>
      </c>
      <c r="O27" s="58" t="str">
        <f t="shared" si="10"/>
        <v/>
      </c>
      <c r="P27" s="102" t="str">
        <f t="shared" si="11"/>
        <v/>
      </c>
      <c r="Q27" s="7"/>
      <c r="R27" s="30"/>
      <c r="U27" s="144" t="str">
        <f t="shared" si="12"/>
        <v/>
      </c>
      <c r="V27" s="144" t="str">
        <f t="shared" si="13"/>
        <v/>
      </c>
      <c r="W27" s="7" t="str">
        <f t="shared" si="14"/>
        <v/>
      </c>
      <c r="X27" s="7" t="str">
        <f t="shared" si="15"/>
        <v/>
      </c>
      <c r="Y27" s="7" t="str">
        <f t="shared" si="16"/>
        <v/>
      </c>
      <c r="Z27" s="7"/>
      <c r="AA27" s="7"/>
      <c r="AB27" s="7"/>
      <c r="AC27" s="7"/>
      <c r="AD27" s="7"/>
    </row>
    <row r="28" spans="1:30" x14ac:dyDescent="0.2">
      <c r="B28" s="89"/>
      <c r="C28" s="14"/>
      <c r="D28" s="50"/>
      <c r="E28" s="15"/>
      <c r="F28" s="14"/>
      <c r="G28" s="16"/>
      <c r="I28" s="93" t="str">
        <f t="shared" si="7"/>
        <v/>
      </c>
      <c r="J28" s="56" t="str">
        <f t="shared" si="8"/>
        <v/>
      </c>
      <c r="K28" s="52" t="str">
        <f t="shared" si="0"/>
        <v/>
      </c>
      <c r="L28" s="17" t="str">
        <f t="shared" si="17"/>
        <v/>
      </c>
      <c r="M28" s="18" t="str">
        <f t="shared" si="9"/>
        <v/>
      </c>
      <c r="N28" s="53" t="str">
        <f t="shared" si="1"/>
        <v/>
      </c>
      <c r="O28" s="58" t="str">
        <f t="shared" si="10"/>
        <v/>
      </c>
      <c r="P28" s="102" t="str">
        <f t="shared" si="11"/>
        <v/>
      </c>
      <c r="U28" s="144" t="str">
        <f t="shared" si="12"/>
        <v/>
      </c>
      <c r="V28" s="144" t="str">
        <f t="shared" si="13"/>
        <v/>
      </c>
      <c r="W28" s="7" t="str">
        <f t="shared" si="14"/>
        <v/>
      </c>
      <c r="X28" s="7" t="str">
        <f t="shared" si="15"/>
        <v/>
      </c>
      <c r="Y28" s="7" t="str">
        <f t="shared" si="16"/>
        <v/>
      </c>
      <c r="Z28" s="7"/>
      <c r="AA28" s="7"/>
      <c r="AB28" s="7"/>
      <c r="AC28" s="7"/>
      <c r="AD28" s="7"/>
    </row>
    <row r="29" spans="1:30" x14ac:dyDescent="0.2">
      <c r="B29" s="89"/>
      <c r="C29" s="14"/>
      <c r="D29" s="50"/>
      <c r="E29" s="15"/>
      <c r="F29" s="14"/>
      <c r="G29" s="16"/>
      <c r="I29" s="93" t="str">
        <f t="shared" si="7"/>
        <v/>
      </c>
      <c r="J29" s="56" t="str">
        <f t="shared" si="8"/>
        <v/>
      </c>
      <c r="K29" s="52" t="str">
        <f t="shared" si="0"/>
        <v/>
      </c>
      <c r="L29" s="17" t="str">
        <f t="shared" si="17"/>
        <v/>
      </c>
      <c r="M29" s="18" t="str">
        <f t="shared" si="9"/>
        <v/>
      </c>
      <c r="N29" s="53" t="str">
        <f t="shared" si="1"/>
        <v/>
      </c>
      <c r="O29" s="58" t="str">
        <f t="shared" si="10"/>
        <v/>
      </c>
      <c r="P29" s="102" t="str">
        <f t="shared" si="11"/>
        <v/>
      </c>
      <c r="U29" s="144" t="str">
        <f t="shared" si="12"/>
        <v/>
      </c>
      <c r="V29" s="144" t="str">
        <f t="shared" si="13"/>
        <v/>
      </c>
      <c r="W29" s="7" t="str">
        <f t="shared" si="14"/>
        <v/>
      </c>
      <c r="X29" s="7" t="str">
        <f t="shared" si="15"/>
        <v/>
      </c>
      <c r="Y29" s="7" t="str">
        <f t="shared" si="16"/>
        <v/>
      </c>
      <c r="Z29" s="7"/>
      <c r="AA29" s="7"/>
      <c r="AB29" s="7"/>
      <c r="AC29" s="7"/>
      <c r="AD29" s="7"/>
    </row>
    <row r="30" spans="1:30" x14ac:dyDescent="0.2">
      <c r="B30" s="90"/>
      <c r="C30" s="25"/>
      <c r="D30" s="133"/>
      <c r="E30" s="26"/>
      <c r="F30" s="25"/>
      <c r="G30" s="27"/>
      <c r="I30" s="94" t="s">
        <v>163</v>
      </c>
      <c r="J30" s="60" t="str">
        <f t="shared" si="8"/>
        <v/>
      </c>
      <c r="K30" s="61" t="str">
        <f t="shared" si="0"/>
        <v/>
      </c>
      <c r="L30" s="28" t="str">
        <f t="shared" si="17"/>
        <v/>
      </c>
      <c r="M30" s="29" t="str">
        <f t="shared" si="9"/>
        <v/>
      </c>
      <c r="N30" s="62" t="str">
        <f t="shared" si="1"/>
        <v/>
      </c>
      <c r="O30" s="63" t="str">
        <f t="shared" si="10"/>
        <v/>
      </c>
      <c r="P30" s="103" t="str">
        <f t="shared" si="11"/>
        <v/>
      </c>
      <c r="R30" s="64"/>
      <c r="U30" s="160" t="str">
        <f t="shared" si="12"/>
        <v/>
      </c>
      <c r="V30" s="160" t="str">
        <f t="shared" si="13"/>
        <v/>
      </c>
      <c r="W30" s="7" t="str">
        <f t="shared" si="14"/>
        <v/>
      </c>
      <c r="X30" s="7" t="str">
        <f t="shared" si="15"/>
        <v/>
      </c>
      <c r="Y30" s="7" t="str">
        <f t="shared" si="16"/>
        <v/>
      </c>
      <c r="Z30" s="7"/>
      <c r="AA30" s="7"/>
      <c r="AB30" s="7"/>
      <c r="AC30" s="7"/>
      <c r="AD30" s="7"/>
    </row>
    <row r="31" spans="1:30" ht="15.75" x14ac:dyDescent="0.25">
      <c r="B31" s="65"/>
      <c r="C31" s="66"/>
      <c r="D31" s="67"/>
      <c r="E31" s="67"/>
      <c r="F31" s="66"/>
      <c r="G31" s="67"/>
      <c r="H31" s="154" t="s">
        <v>175</v>
      </c>
      <c r="I31" s="155" t="e">
        <f>AVERAGE(I22:I30)</f>
        <v>#DIV/0!</v>
      </c>
      <c r="J31" s="30"/>
      <c r="K31" s="30"/>
      <c r="L31" s="64"/>
      <c r="M31" s="64"/>
      <c r="R31" s="64"/>
      <c r="U31" s="7"/>
      <c r="V31" s="7"/>
      <c r="W31" s="7" t="e">
        <f>AVERAGE(W22:W30)</f>
        <v>#DIV/0!</v>
      </c>
      <c r="X31" s="7">
        <f>+SUM(X22:X30)</f>
        <v>0</v>
      </c>
      <c r="Y31" s="7">
        <f>+SUM(Y22:Y30)</f>
        <v>0</v>
      </c>
      <c r="Z31" s="7"/>
      <c r="AA31" s="7"/>
      <c r="AB31" s="7"/>
      <c r="AC31" s="7"/>
      <c r="AD31" s="7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U32" s="7"/>
      <c r="V32" s="7"/>
      <c r="W32" s="159" t="s">
        <v>175</v>
      </c>
      <c r="X32" s="159" t="s">
        <v>178</v>
      </c>
      <c r="Y32" s="159" t="s">
        <v>178</v>
      </c>
      <c r="Z32" s="7"/>
      <c r="AA32" s="7"/>
      <c r="AB32" s="7"/>
      <c r="AC32" s="7"/>
      <c r="AD32" s="7"/>
    </row>
    <row r="33" spans="1:3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U33" s="132"/>
      <c r="V33" s="163"/>
      <c r="W33" s="7"/>
      <c r="X33" s="7"/>
      <c r="Y33" s="7"/>
      <c r="Z33" s="7"/>
      <c r="AA33" s="7"/>
      <c r="AB33" s="7"/>
      <c r="AC33" s="7"/>
      <c r="AD33" s="7"/>
    </row>
    <row r="34" spans="1:31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/>
      <c r="M34" s="31"/>
      <c r="N34" s="31"/>
      <c r="O34" s="31"/>
      <c r="P34" s="31"/>
      <c r="Q34" s="31"/>
      <c r="R34" s="31"/>
      <c r="S34" s="31"/>
      <c r="U34" s="132"/>
      <c r="V34" s="164"/>
      <c r="W34" s="164"/>
      <c r="X34" s="7"/>
      <c r="Y34" s="7"/>
      <c r="Z34" s="7"/>
      <c r="AA34" s="7"/>
      <c r="AB34" s="7"/>
      <c r="AC34" s="7"/>
      <c r="AD34" s="7"/>
    </row>
    <row r="35" spans="1:31" x14ac:dyDescent="0.2">
      <c r="A35" s="31"/>
      <c r="B35" s="185" t="s">
        <v>53</v>
      </c>
      <c r="C35" s="186"/>
      <c r="D35" s="70" t="str">
        <f>IF(S24="","",+S24)</f>
        <v/>
      </c>
      <c r="E35" s="210" t="s">
        <v>165</v>
      </c>
      <c r="F35" s="211"/>
      <c r="G35" s="69" t="str">
        <f>IF(D35="","",IF(D35&lt;0.99,"NO","YES"))</f>
        <v/>
      </c>
      <c r="H35" s="31"/>
      <c r="I35" s="31"/>
      <c r="J35" s="31"/>
      <c r="K35" s="33" t="s">
        <v>55</v>
      </c>
      <c r="L35" s="165"/>
      <c r="M35" s="31"/>
      <c r="N35" s="31"/>
      <c r="O35" s="31"/>
      <c r="P35" s="31"/>
      <c r="Q35" s="31"/>
      <c r="R35" s="31"/>
      <c r="S35" s="31"/>
      <c r="U35" s="7" t="s">
        <v>56</v>
      </c>
      <c r="V35" s="161" t="e">
        <f>+IF(C11="mg/kg",D48/1000000,IF(C11="ug/kg",D48/1000000000))</f>
        <v>#VALUE!</v>
      </c>
      <c r="W35" s="163"/>
      <c r="X35" s="7"/>
      <c r="Y35" s="7"/>
      <c r="Z35" s="7"/>
      <c r="AA35" s="7"/>
      <c r="AB35" s="7"/>
      <c r="AC35" s="7"/>
      <c r="AD35" s="7"/>
      <c r="AE35" s="111"/>
    </row>
    <row r="36" spans="1:31" ht="15.75" x14ac:dyDescent="0.25">
      <c r="A36" s="31"/>
      <c r="B36" s="196" t="s">
        <v>57</v>
      </c>
      <c r="C36" s="197"/>
      <c r="D36" s="71" t="str">
        <f>IF(S22="","",+MAX(U23:U30))</f>
        <v/>
      </c>
      <c r="E36" s="72" t="s">
        <v>58</v>
      </c>
      <c r="F36" s="73" t="str">
        <f>IF(S22="","",40%)</f>
        <v/>
      </c>
      <c r="G36" s="74" t="str">
        <f>+IF(D36="","",(IF(D36&gt;F36,"NO","YES")))</f>
        <v/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31" ht="15.75" x14ac:dyDescent="0.25">
      <c r="A37" s="31"/>
      <c r="B37" s="198" t="s">
        <v>59</v>
      </c>
      <c r="C37" s="199"/>
      <c r="D37" s="76" t="str">
        <f>IF(S22="","",+MAX(V23:V30))</f>
        <v/>
      </c>
      <c r="E37" s="82" t="s">
        <v>58</v>
      </c>
      <c r="F37" s="83">
        <v>0.01</v>
      </c>
      <c r="G37" s="34" t="str">
        <f>+IF(D37="","",IF(D37&gt;1%,"NO","YES"))</f>
        <v/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3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31" x14ac:dyDescent="0.2">
      <c r="A39" s="31"/>
      <c r="B39" s="118"/>
      <c r="C39" s="118"/>
      <c r="D39" s="78"/>
      <c r="E39" s="72"/>
      <c r="F39" s="75"/>
      <c r="G39" s="118"/>
      <c r="H39" s="31"/>
      <c r="I39" s="31"/>
      <c r="J39" s="31"/>
      <c r="K39" s="33" t="s">
        <v>167</v>
      </c>
      <c r="L39" s="31"/>
      <c r="M39" s="31"/>
      <c r="N39" s="31"/>
      <c r="O39" s="31"/>
      <c r="P39" s="31"/>
      <c r="Q39" s="31"/>
      <c r="R39" s="31"/>
      <c r="S39" s="31"/>
    </row>
    <row r="40" spans="1:31" ht="15.75" x14ac:dyDescent="0.25">
      <c r="A40" s="31"/>
      <c r="B40" s="79" t="s">
        <v>62</v>
      </c>
      <c r="C40" s="117"/>
      <c r="D40" s="81"/>
      <c r="E40" s="82"/>
      <c r="F40" s="83"/>
      <c r="G40" s="117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31" ht="15.75" x14ac:dyDescent="0.25">
      <c r="A41" s="31"/>
      <c r="B41" s="185" t="s">
        <v>182</v>
      </c>
      <c r="C41" s="200"/>
      <c r="D41" s="84" t="str">
        <f>IF(M22="","",IF(M22="","",(U22)))</f>
        <v/>
      </c>
      <c r="E41" s="85" t="s">
        <v>58</v>
      </c>
      <c r="F41" s="73" t="str">
        <f>IF(S22="","",40%)</f>
        <v/>
      </c>
      <c r="G41" s="69" t="str">
        <f>IF(F41="","",IF(D41="","",IF(D41&lt;F41,"YES","NO")))</f>
        <v/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31" ht="15.75" x14ac:dyDescent="0.25">
      <c r="A42" s="31"/>
      <c r="B42" s="196" t="s">
        <v>184</v>
      </c>
      <c r="C42" s="202"/>
      <c r="D42" s="71" t="str">
        <f>IF(K22="","",IF(J22="","",(V22)))</f>
        <v/>
      </c>
      <c r="E42" s="72" t="s">
        <v>58</v>
      </c>
      <c r="F42" s="75">
        <v>0.01</v>
      </c>
      <c r="G42" s="74" t="str">
        <f>IF(F42="","",IF(D42="","",IF(D42&lt;=F42,"YES","NO")))</f>
        <v/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31" ht="19.5" x14ac:dyDescent="0.35">
      <c r="A43" s="31"/>
      <c r="B43" s="204" t="s">
        <v>164</v>
      </c>
      <c r="C43" s="205"/>
      <c r="D43" s="104" t="e">
        <f>AB22</f>
        <v>#VALUE!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31" ht="21" x14ac:dyDescent="0.35">
      <c r="A44" s="31"/>
      <c r="B44" s="196" t="s">
        <v>66</v>
      </c>
      <c r="C44" s="203"/>
      <c r="D44" s="76" t="str">
        <f>IF(D48="","",D43/D48)</f>
        <v/>
      </c>
      <c r="E44" s="82" t="s">
        <v>67</v>
      </c>
      <c r="F44" s="75" t="str">
        <f>IF(D48="","",IF(V35&lt;0.00000001,20%,IF(V35&lt;0.00000012,17%,IF(V35&lt;0.000001,15%,11%))))</f>
        <v/>
      </c>
      <c r="G44" s="74" t="str">
        <f>IF(F44="","",IF(D44="","",IF(D44&lt;F44,"YES","NO")))</f>
        <v/>
      </c>
      <c r="H44" s="98" t="str">
        <f>+IF(G44="","",IF(G44="YES","→  CCα_max= ",""))</f>
        <v/>
      </c>
      <c r="I44" s="31"/>
      <c r="J44" s="125" t="str">
        <f>+IF(G44="","",IF(G44="NO","",IF(G44="YES",IF(AND(C11="ug/kg",C10&lt;10),C10+1.64*0.3*C10,IF(C10&lt;=120,C10+1.64*0.25*C10,IF(C10&lt;=1000,C10+1.64*0.22*C10,IF(C10&gt;1000,C10+1.64*0.16*C10)))))))</f>
        <v/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31" x14ac:dyDescent="0.2">
      <c r="A45" s="31"/>
      <c r="B45" s="206"/>
      <c r="C45" s="206"/>
      <c r="D45" s="207"/>
      <c r="E45" s="207"/>
      <c r="F45" s="123"/>
      <c r="G45" s="12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31" x14ac:dyDescent="0.2">
      <c r="A46" s="31"/>
      <c r="B46" s="207"/>
      <c r="C46" s="207"/>
      <c r="D46" s="121"/>
      <c r="E46" s="119"/>
      <c r="F46" s="122"/>
      <c r="G46" s="120"/>
      <c r="H46" s="31"/>
      <c r="I46" s="31"/>
      <c r="J46" s="31"/>
      <c r="K46" s="33" t="s">
        <v>167</v>
      </c>
      <c r="L46" s="31"/>
      <c r="M46" s="31"/>
      <c r="N46" s="31"/>
      <c r="O46" s="31"/>
      <c r="P46" s="31"/>
      <c r="Q46" s="31"/>
      <c r="R46" s="31"/>
      <c r="S46" s="31"/>
    </row>
    <row r="47" spans="1:31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31" ht="15.75" x14ac:dyDescent="0.25">
      <c r="A48" s="31"/>
      <c r="B48" s="118"/>
      <c r="C48" s="88" t="str">
        <f>+"Calculated concentration ("&amp;$C$11&amp;"): "</f>
        <v xml:space="preserve">Calculated concentration (ug/kg): </v>
      </c>
      <c r="D48" s="106" t="str">
        <f>IF(G41="","",IF(G42="","",+S23/S22))</f>
        <v/>
      </c>
      <c r="E48" s="118"/>
      <c r="F48" s="88" t="s">
        <v>71</v>
      </c>
      <c r="G48" s="194" t="str">
        <f>+IF(L34="","",IF(L34="NO","REPEAT",IF(D48="","COMPLIANT",IF(G41="NO","COMPLIANT",IF(AND(G44="NO",D48&lt;C10),"COMPLIANT",IF(AND(G44="NO",D48&gt;C10),"CHECK expert",IF(G42="NO","COMPLIANT",IF(D48&gt;J44,"NON COMPLIANT","COMPLIANT"))))))))</f>
        <v/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ht="15.75" x14ac:dyDescent="0.25">
      <c r="A49" s="31"/>
      <c r="B49" s="202"/>
      <c r="C49" s="202"/>
      <c r="D49" s="169" t="s">
        <v>181</v>
      </c>
      <c r="E49" s="202"/>
      <c r="F49" s="202"/>
      <c r="G49" s="118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/>
    </row>
    <row r="57" spans="1:19" x14ac:dyDescent="0.2">
      <c r="B57" s="170">
        <f>B22</f>
        <v>0</v>
      </c>
      <c r="C57" s="171" t="str">
        <f>L22</f>
        <v/>
      </c>
    </row>
    <row r="58" spans="1:19" x14ac:dyDescent="0.2">
      <c r="B58" s="170">
        <f>B23</f>
        <v>0</v>
      </c>
      <c r="C58" s="171" t="str">
        <f t="shared" ref="C58:C65" si="18">L23</f>
        <v/>
      </c>
    </row>
    <row r="59" spans="1:19" x14ac:dyDescent="0.2">
      <c r="B59" s="170">
        <f t="shared" ref="B59:B65" si="19">B24</f>
        <v>0</v>
      </c>
      <c r="C59" s="171" t="str">
        <f t="shared" si="18"/>
        <v/>
      </c>
    </row>
    <row r="60" spans="1:19" x14ac:dyDescent="0.2">
      <c r="B60" s="170">
        <f t="shared" si="19"/>
        <v>0</v>
      </c>
      <c r="C60" s="171" t="str">
        <f t="shared" si="18"/>
        <v/>
      </c>
    </row>
    <row r="61" spans="1:19" x14ac:dyDescent="0.2">
      <c r="B61" s="170">
        <f t="shared" si="19"/>
        <v>0</v>
      </c>
      <c r="C61" s="171" t="str">
        <f t="shared" si="18"/>
        <v/>
      </c>
    </row>
    <row r="62" spans="1:19" x14ac:dyDescent="0.2">
      <c r="B62" s="170">
        <f t="shared" si="19"/>
        <v>0</v>
      </c>
      <c r="C62" s="171" t="str">
        <f t="shared" si="18"/>
        <v/>
      </c>
    </row>
    <row r="63" spans="1:19" x14ac:dyDescent="0.2">
      <c r="B63" s="170">
        <f t="shared" si="19"/>
        <v>0</v>
      </c>
      <c r="C63" s="171" t="str">
        <f t="shared" si="18"/>
        <v/>
      </c>
    </row>
    <row r="64" spans="1:19" x14ac:dyDescent="0.2">
      <c r="B64" s="170">
        <f t="shared" si="19"/>
        <v>0</v>
      </c>
      <c r="C64" s="171" t="str">
        <f t="shared" si="18"/>
        <v/>
      </c>
    </row>
    <row r="65" spans="2:3" x14ac:dyDescent="0.2">
      <c r="B65" s="170">
        <f t="shared" si="19"/>
        <v>0</v>
      </c>
      <c r="C65" s="171" t="str">
        <f t="shared" si="18"/>
        <v/>
      </c>
    </row>
    <row r="66" spans="2:3" x14ac:dyDescent="0.2">
      <c r="B66" s="170"/>
      <c r="C66" s="171"/>
    </row>
    <row r="67" spans="2:3" x14ac:dyDescent="0.2">
      <c r="B67" s="126"/>
      <c r="C67" s="134"/>
    </row>
    <row r="68" spans="2:3" x14ac:dyDescent="0.2">
      <c r="B68" s="126"/>
      <c r="C68" s="134"/>
    </row>
    <row r="69" spans="2:3" x14ac:dyDescent="0.2">
      <c r="C69" s="134"/>
    </row>
    <row r="70" spans="2:3" x14ac:dyDescent="0.2">
      <c r="C70" s="134"/>
    </row>
    <row r="71" spans="2:3" x14ac:dyDescent="0.2">
      <c r="C71" s="134"/>
    </row>
  </sheetData>
  <sheetProtection autoFilter="0"/>
  <mergeCells count="28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B49:C49"/>
    <mergeCell ref="E49:F49"/>
    <mergeCell ref="B52:S52"/>
    <mergeCell ref="D45:E45"/>
    <mergeCell ref="B43:C43"/>
    <mergeCell ref="B44:C44"/>
    <mergeCell ref="B45:C45"/>
    <mergeCell ref="B46:C46"/>
    <mergeCell ref="B47:C47"/>
    <mergeCell ref="G48:H48"/>
  </mergeCells>
  <dataValidations count="1">
    <dataValidation type="list" allowBlank="1" showInputMessage="1" showErrorMessage="1" sqref="C11" xr:uid="{C5F2672A-B5FB-42AB-B669-61A234D53D74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DFEE-3F09-4BFD-8A36-5E6101AE750B}">
  <sheetPr>
    <pageSetUpPr fitToPage="1"/>
  </sheetPr>
  <dimension ref="A1:AE69"/>
  <sheetViews>
    <sheetView zoomScale="70" zoomScaleNormal="70" zoomScaleSheetLayoutView="70" zoomScalePageLayoutView="40" workbookViewId="0">
      <selection activeCell="B43" sqref="B43:C43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22.5703125" style="3" customWidth="1"/>
    <col min="22" max="22" width="23.5703125" style="3" customWidth="1"/>
    <col min="23" max="23" width="17.5703125" style="3" customWidth="1"/>
    <col min="24" max="25" width="16.28515625" style="3" bestFit="1" customWidth="1"/>
    <col min="26" max="26" width="21" style="3" bestFit="1" customWidth="1"/>
    <col min="27" max="27" width="9.28515625" style="3" bestFit="1" customWidth="1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19" ht="15.75" x14ac:dyDescent="0.25">
      <c r="A1" s="1"/>
      <c r="B1" s="2"/>
      <c r="C1" s="1"/>
      <c r="D1" s="1"/>
      <c r="E1" s="1"/>
      <c r="F1" s="1"/>
      <c r="G1" s="1"/>
      <c r="J1" s="1"/>
      <c r="K1" s="1"/>
      <c r="R1" s="4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9" ht="15.75" x14ac:dyDescent="0.25">
      <c r="A3" s="1"/>
      <c r="B3" s="2" t="s">
        <v>160</v>
      </c>
      <c r="C3" s="1"/>
      <c r="D3" s="1"/>
      <c r="F3" s="1"/>
      <c r="G3" s="1"/>
      <c r="H3" s="1"/>
      <c r="I3" s="1"/>
      <c r="J3" s="1"/>
      <c r="K3" s="1"/>
    </row>
    <row r="4" spans="1:19" x14ac:dyDescent="0.2">
      <c r="A4" s="1"/>
      <c r="E4" s="1"/>
      <c r="F4" s="1"/>
      <c r="G4" s="1"/>
      <c r="H4" s="1"/>
      <c r="I4" s="1"/>
      <c r="J4" s="1"/>
      <c r="K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9" ht="15.75" x14ac:dyDescent="0.25">
      <c r="A6" s="1"/>
      <c r="B6" s="1" t="s">
        <v>4</v>
      </c>
      <c r="C6" s="5"/>
      <c r="D6" s="1"/>
      <c r="E6" s="1" t="s">
        <v>162</v>
      </c>
      <c r="F6" s="1"/>
      <c r="G6" s="1"/>
      <c r="H6" s="1"/>
      <c r="I6" s="1"/>
      <c r="J6" s="1"/>
      <c r="K6" s="1"/>
    </row>
    <row r="7" spans="1:19" ht="15.75" x14ac:dyDescent="0.25">
      <c r="A7" s="1"/>
      <c r="B7" s="1" t="s">
        <v>5</v>
      </c>
      <c r="C7" s="6"/>
      <c r="D7" s="2"/>
      <c r="E7" s="1"/>
      <c r="F7" s="1"/>
      <c r="G7" s="7"/>
      <c r="H7" s="1"/>
      <c r="I7" s="1"/>
      <c r="J7" s="1"/>
      <c r="K7" s="1"/>
    </row>
    <row r="8" spans="1:19" x14ac:dyDescent="0.2">
      <c r="A8" s="1"/>
      <c r="B8" s="1" t="s">
        <v>7</v>
      </c>
      <c r="C8" s="8"/>
      <c r="D8" s="1"/>
      <c r="E8" s="1"/>
      <c r="F8" s="1"/>
      <c r="G8" s="1"/>
      <c r="H8" s="1"/>
      <c r="I8" s="1"/>
      <c r="J8" s="1"/>
      <c r="K8" s="1"/>
    </row>
    <row r="9" spans="1:19" x14ac:dyDescent="0.2">
      <c r="A9" s="1"/>
      <c r="B9" s="1" t="s">
        <v>8</v>
      </c>
      <c r="C9" s="8"/>
      <c r="D9" s="1"/>
      <c r="E9" s="1"/>
      <c r="F9" s="1"/>
      <c r="G9" s="1"/>
      <c r="H9" s="1"/>
      <c r="I9" s="1"/>
      <c r="J9" s="1"/>
      <c r="K9" s="1"/>
    </row>
    <row r="10" spans="1:19" x14ac:dyDescent="0.2">
      <c r="A10" s="1"/>
      <c r="B10" s="1" t="s">
        <v>170</v>
      </c>
      <c r="C10" s="9"/>
      <c r="D10" s="1"/>
      <c r="E10" s="1"/>
      <c r="F10" s="1"/>
      <c r="G10" s="1"/>
      <c r="H10" s="1"/>
      <c r="I10" s="1"/>
    </row>
    <row r="11" spans="1:19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19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19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19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19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/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166</v>
      </c>
      <c r="C18" s="175"/>
      <c r="D18" s="176"/>
      <c r="E18" s="1"/>
      <c r="G18" s="1"/>
      <c r="H18" s="1"/>
      <c r="I18" s="1"/>
      <c r="L18" s="1"/>
      <c r="M18" s="1"/>
      <c r="N18" s="1"/>
      <c r="O18" s="1"/>
    </row>
    <row r="19" spans="1:30" ht="38.25" x14ac:dyDescent="0.35">
      <c r="A19" s="1"/>
      <c r="I19" s="95"/>
      <c r="W19" s="143" t="s">
        <v>176</v>
      </c>
      <c r="X19" s="143" t="s">
        <v>177</v>
      </c>
      <c r="Y19" s="151" t="s">
        <v>172</v>
      </c>
    </row>
    <row r="20" spans="1:30" ht="15.75" x14ac:dyDescent="0.25">
      <c r="B20" s="41" t="s">
        <v>18</v>
      </c>
      <c r="C20" s="177" t="s">
        <v>19</v>
      </c>
      <c r="D20" s="179" t="s">
        <v>168</v>
      </c>
      <c r="E20" s="179" t="s">
        <v>169</v>
      </c>
      <c r="F20" s="177" t="s">
        <v>22</v>
      </c>
      <c r="G20" s="181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113" t="s">
        <v>29</v>
      </c>
      <c r="P20" s="43"/>
      <c r="R20" s="7"/>
      <c r="S20" s="115" t="s">
        <v>30</v>
      </c>
    </row>
    <row r="21" spans="1:30" x14ac:dyDescent="0.2">
      <c r="B21" s="44" t="str">
        <f>+"("&amp;$C$11&amp;")"</f>
        <v>(ug/kg)</v>
      </c>
      <c r="C21" s="178"/>
      <c r="D21" s="180"/>
      <c r="E21" s="180"/>
      <c r="F21" s="178"/>
      <c r="G21" s="182"/>
      <c r="I21" s="23" t="str">
        <f>+"("&amp;$C$11&amp;")"</f>
        <v>(ug/kg)</v>
      </c>
      <c r="J21" s="178"/>
      <c r="K21" s="114" t="s">
        <v>31</v>
      </c>
      <c r="L21" s="178"/>
      <c r="M21" s="184"/>
      <c r="N21" s="46" t="s">
        <v>31</v>
      </c>
      <c r="O21" s="114" t="s">
        <v>32</v>
      </c>
      <c r="P21" s="116" t="s">
        <v>33</v>
      </c>
      <c r="R21" s="7"/>
      <c r="S21" s="116"/>
      <c r="U21" s="160" t="s">
        <v>179</v>
      </c>
      <c r="V21" s="160" t="s">
        <v>180</v>
      </c>
      <c r="W21" s="7" t="s">
        <v>36</v>
      </c>
      <c r="X21" s="7" t="s">
        <v>37</v>
      </c>
      <c r="Y21" s="7" t="s">
        <v>38</v>
      </c>
      <c r="Z21" s="7" t="s">
        <v>39</v>
      </c>
      <c r="AA21" s="7" t="s">
        <v>40</v>
      </c>
      <c r="AB21" s="7" t="s">
        <v>41</v>
      </c>
      <c r="AC21" s="7" t="s">
        <v>42</v>
      </c>
      <c r="AD21" s="7" t="s">
        <v>43</v>
      </c>
    </row>
    <row r="22" spans="1:30" x14ac:dyDescent="0.2">
      <c r="B22" s="166"/>
      <c r="C22" s="14"/>
      <c r="D22" s="50"/>
      <c r="E22" s="15"/>
      <c r="F22" s="14"/>
      <c r="G22" s="16"/>
      <c r="I22" s="93" t="str">
        <f t="shared" ref="I22:I27" si="0">+IF(B22="","",B22)</f>
        <v/>
      </c>
      <c r="J22" s="51" t="str">
        <f>+IF(B22="","",(IF(F22="","",(C22/F22))))</f>
        <v/>
      </c>
      <c r="K22" s="52" t="str">
        <f t="shared" ref="K22:K30" si="1">+IF(J22="","",((((J22-(AVERAGE(J$24:J$30)))/(AVERAGE(J$24:J$30))))))</f>
        <v/>
      </c>
      <c r="L22" s="12" t="str">
        <f t="shared" ref="L22:L23" si="2">+IF(B22="","",(IF(G22="","",IF(I22="","",((D22)/(G22))))))</f>
        <v/>
      </c>
      <c r="M22" s="13" t="str">
        <f>IF(I22="","",IF(OR(B22="",E22="",G22=""),"",E22/D22))</f>
        <v/>
      </c>
      <c r="N22" s="53" t="str">
        <f t="shared" ref="N22:N30" si="3">+IF(M22="","",((((M22-(AVERAGE(M$24:M$30))))/(AVERAGE(M$24:M$30)))))</f>
        <v/>
      </c>
      <c r="O22" s="54"/>
      <c r="P22" s="115"/>
      <c r="R22" s="19" t="s">
        <v>44</v>
      </c>
      <c r="S22" s="112" t="str">
        <f>IF(COUNT(L22:L30)&gt;0,SLOPE(L22:L30,I22:I30),"")</f>
        <v/>
      </c>
      <c r="U22" s="160" t="str">
        <f t="shared" ref="U22:U30" si="4">IF(N22="","",(ABS(N22)))</f>
        <v/>
      </c>
      <c r="V22" s="160" t="str">
        <f t="shared" ref="V22:V30" si="5">IF(K22="","",(ABS(K22)))</f>
        <v/>
      </c>
      <c r="W22" s="7" t="str">
        <f>IF(I22="","",+$S$22*I22+$S$23)</f>
        <v/>
      </c>
      <c r="X22" s="7" t="str">
        <f>IF(I22="","",(L22-W22)^2)</f>
        <v/>
      </c>
      <c r="Y22" s="7" t="str">
        <f>IF(I22="","",(I22-AVERAGE($I$22:$I$30))^2)</f>
        <v/>
      </c>
      <c r="Z22" s="30" t="e">
        <f>+AVERAGE(L22:L30)</f>
        <v>#DIV/0!</v>
      </c>
      <c r="AA22" s="7">
        <f>+SQRT(X31/(COUNT(I22:I30)-2))</f>
        <v>0</v>
      </c>
      <c r="AB22" s="66" t="e">
        <f>(AA22/S22)*SQRT(1/(COUNT(I22:I30))+((Z22^2)/(S22^2*Y31)))</f>
        <v>#VALUE!</v>
      </c>
      <c r="AC22" s="7" t="e">
        <f>+_xlfn.T.INV(0.95,(COUNT(I22:I30)-2))</f>
        <v>#NUM!</v>
      </c>
      <c r="AD22" s="7" t="e">
        <f>+AC22*AB22</f>
        <v>#NUM!</v>
      </c>
    </row>
    <row r="23" spans="1:30" x14ac:dyDescent="0.2">
      <c r="B23" s="167"/>
      <c r="C23" s="14"/>
      <c r="D23" s="50"/>
      <c r="E23" s="15"/>
      <c r="F23" s="14"/>
      <c r="G23" s="16"/>
      <c r="I23" s="93" t="str">
        <f t="shared" si="0"/>
        <v/>
      </c>
      <c r="J23" s="56" t="str">
        <f t="shared" ref="J23:J30" si="6">+IF(B23="","",(IF(F23="","",(C23/F23))))</f>
        <v/>
      </c>
      <c r="K23" s="52" t="str">
        <f t="shared" si="1"/>
        <v/>
      </c>
      <c r="L23" s="17" t="str">
        <f t="shared" si="2"/>
        <v/>
      </c>
      <c r="M23" s="18" t="str">
        <f t="shared" ref="M23:M30" si="7">IF(I23="","",IF(OR(B23="",E23="",G23=""),"",E23/D23))</f>
        <v/>
      </c>
      <c r="N23" s="53" t="str">
        <f t="shared" si="3"/>
        <v/>
      </c>
      <c r="O23" s="54"/>
      <c r="P23" s="57"/>
      <c r="R23" s="21" t="s">
        <v>45</v>
      </c>
      <c r="S23" s="22" t="str">
        <f>IF(S22="","",INTERCEPT(L22:L30,I22:I30))</f>
        <v/>
      </c>
      <c r="U23" s="160" t="str">
        <f t="shared" si="4"/>
        <v/>
      </c>
      <c r="V23" s="160" t="str">
        <f t="shared" si="5"/>
        <v/>
      </c>
      <c r="W23" s="7" t="str">
        <f t="shared" ref="W23:W30" si="8">IF(I23="","",+$S$22*I23+$S$23)</f>
        <v/>
      </c>
      <c r="X23" s="7" t="str">
        <f t="shared" ref="X23:X30" si="9">IF(I23="","",(L23-W23)^2)</f>
        <v/>
      </c>
      <c r="Y23" s="7" t="str">
        <f t="shared" ref="Y23:Y30" si="10">IF(I23="","",(I23-AVERAGE($I$22:$I$30))^2)</f>
        <v/>
      </c>
      <c r="Z23" s="7"/>
      <c r="AA23" s="7"/>
      <c r="AB23" s="7"/>
      <c r="AC23" s="7"/>
      <c r="AD23" s="7"/>
    </row>
    <row r="24" spans="1:30" x14ac:dyDescent="0.2">
      <c r="B24" s="89"/>
      <c r="C24" s="14"/>
      <c r="D24" s="50"/>
      <c r="E24" s="15"/>
      <c r="F24" s="14"/>
      <c r="G24" s="16"/>
      <c r="I24" s="93" t="str">
        <f t="shared" si="0"/>
        <v/>
      </c>
      <c r="J24" s="56" t="str">
        <f t="shared" si="6"/>
        <v/>
      </c>
      <c r="K24" s="52" t="str">
        <f t="shared" si="1"/>
        <v/>
      </c>
      <c r="L24" s="17" t="str">
        <f>+IF(B24="","",(IF(G24="","",IF(I24="","",((D24)/(G24))))))</f>
        <v/>
      </c>
      <c r="M24" s="18" t="str">
        <f t="shared" si="7"/>
        <v/>
      </c>
      <c r="N24" s="53" t="str">
        <f t="shared" si="3"/>
        <v/>
      </c>
      <c r="O24" s="58" t="str">
        <f t="shared" ref="O24:O30" si="11">IF(L24="","",(L24-$S$23)/$S$22)</f>
        <v/>
      </c>
      <c r="P24" s="102" t="str">
        <f t="shared" ref="P24:P30" si="12">IF(O24="","",+O24/B24)</f>
        <v/>
      </c>
      <c r="R24" s="23" t="s">
        <v>46</v>
      </c>
      <c r="S24" s="24" t="str">
        <f>IF(S22="","",CORREL(L22:L30,I22:I30))</f>
        <v/>
      </c>
      <c r="U24" s="160" t="str">
        <f t="shared" si="4"/>
        <v/>
      </c>
      <c r="V24" s="160" t="str">
        <f t="shared" si="5"/>
        <v/>
      </c>
      <c r="W24" s="7" t="str">
        <f t="shared" si="8"/>
        <v/>
      </c>
      <c r="X24" s="7" t="str">
        <f t="shared" si="9"/>
        <v/>
      </c>
      <c r="Y24" s="7" t="str">
        <f t="shared" si="10"/>
        <v/>
      </c>
      <c r="Z24" s="7" t="e">
        <f>Z22*Z22</f>
        <v>#DIV/0!</v>
      </c>
      <c r="AA24" s="7"/>
      <c r="AB24" s="7"/>
      <c r="AC24" s="7"/>
      <c r="AD24" s="7"/>
    </row>
    <row r="25" spans="1:30" x14ac:dyDescent="0.2">
      <c r="B25" s="89"/>
      <c r="C25" s="14"/>
      <c r="D25" s="50"/>
      <c r="E25" s="15"/>
      <c r="F25" s="14"/>
      <c r="G25" s="16"/>
      <c r="I25" s="93" t="str">
        <f t="shared" si="0"/>
        <v/>
      </c>
      <c r="J25" s="56" t="str">
        <f t="shared" si="6"/>
        <v/>
      </c>
      <c r="K25" s="52" t="str">
        <f t="shared" si="1"/>
        <v/>
      </c>
      <c r="L25" s="17" t="str">
        <f t="shared" ref="L25:L30" si="13">+IF(B25="","",(IF(G25="","",IF(I25="","",((D25)/(G25))))))</f>
        <v/>
      </c>
      <c r="M25" s="18" t="str">
        <f t="shared" si="7"/>
        <v/>
      </c>
      <c r="N25" s="53" t="str">
        <f t="shared" si="3"/>
        <v/>
      </c>
      <c r="O25" s="58" t="str">
        <f t="shared" si="11"/>
        <v/>
      </c>
      <c r="P25" s="102" t="str">
        <f t="shared" si="12"/>
        <v/>
      </c>
      <c r="Q25" s="7"/>
      <c r="R25" s="30"/>
      <c r="U25" s="160" t="str">
        <f t="shared" si="4"/>
        <v/>
      </c>
      <c r="V25" s="160" t="str">
        <f t="shared" si="5"/>
        <v/>
      </c>
      <c r="W25" s="7" t="str">
        <f t="shared" si="8"/>
        <v/>
      </c>
      <c r="X25" s="7" t="str">
        <f t="shared" si="9"/>
        <v/>
      </c>
      <c r="Y25" s="7" t="str">
        <f t="shared" si="10"/>
        <v/>
      </c>
      <c r="Z25" s="7"/>
      <c r="AA25" s="7"/>
      <c r="AB25" s="7"/>
      <c r="AC25" s="7"/>
      <c r="AD25" s="7"/>
    </row>
    <row r="26" spans="1:30" x14ac:dyDescent="0.2">
      <c r="B26" s="89"/>
      <c r="C26" s="14"/>
      <c r="D26" s="50"/>
      <c r="E26" s="15"/>
      <c r="F26" s="14"/>
      <c r="G26" s="16"/>
      <c r="I26" s="93" t="str">
        <f t="shared" si="0"/>
        <v/>
      </c>
      <c r="J26" s="56" t="str">
        <f t="shared" si="6"/>
        <v/>
      </c>
      <c r="K26" s="52" t="str">
        <f t="shared" si="1"/>
        <v/>
      </c>
      <c r="L26" s="17" t="str">
        <f t="shared" si="13"/>
        <v/>
      </c>
      <c r="M26" s="18" t="str">
        <f t="shared" si="7"/>
        <v/>
      </c>
      <c r="N26" s="53" t="str">
        <f t="shared" si="3"/>
        <v/>
      </c>
      <c r="O26" s="58" t="str">
        <f t="shared" si="11"/>
        <v/>
      </c>
      <c r="P26" s="102" t="str">
        <f t="shared" si="12"/>
        <v/>
      </c>
      <c r="Q26" s="7"/>
      <c r="R26" s="30"/>
      <c r="U26" s="160" t="str">
        <f t="shared" si="4"/>
        <v/>
      </c>
      <c r="V26" s="160" t="str">
        <f t="shared" si="5"/>
        <v/>
      </c>
      <c r="W26" s="7" t="str">
        <f t="shared" si="8"/>
        <v/>
      </c>
      <c r="X26" s="7" t="str">
        <f t="shared" si="9"/>
        <v/>
      </c>
      <c r="Y26" s="7" t="str">
        <f t="shared" si="10"/>
        <v/>
      </c>
      <c r="Z26" s="7"/>
      <c r="AA26" s="7"/>
      <c r="AB26" s="7"/>
      <c r="AC26" s="7"/>
      <c r="AD26" s="7"/>
    </row>
    <row r="27" spans="1:30" x14ac:dyDescent="0.2">
      <c r="B27" s="89"/>
      <c r="C27" s="14"/>
      <c r="D27" s="50"/>
      <c r="E27" s="15"/>
      <c r="F27" s="14"/>
      <c r="G27" s="16"/>
      <c r="I27" s="93" t="str">
        <f t="shared" si="0"/>
        <v/>
      </c>
      <c r="J27" s="56" t="str">
        <f t="shared" si="6"/>
        <v/>
      </c>
      <c r="K27" s="52" t="str">
        <f t="shared" si="1"/>
        <v/>
      </c>
      <c r="L27" s="17" t="str">
        <f t="shared" si="13"/>
        <v/>
      </c>
      <c r="M27" s="18" t="str">
        <f t="shared" si="7"/>
        <v/>
      </c>
      <c r="N27" s="53" t="str">
        <f t="shared" si="3"/>
        <v/>
      </c>
      <c r="O27" s="58" t="str">
        <f t="shared" si="11"/>
        <v/>
      </c>
      <c r="P27" s="102" t="str">
        <f t="shared" si="12"/>
        <v/>
      </c>
      <c r="Q27" s="7"/>
      <c r="R27" s="30"/>
      <c r="U27" s="160" t="str">
        <f t="shared" si="4"/>
        <v/>
      </c>
      <c r="V27" s="160" t="str">
        <f t="shared" si="5"/>
        <v/>
      </c>
      <c r="W27" s="7" t="str">
        <f t="shared" si="8"/>
        <v/>
      </c>
      <c r="X27" s="7" t="str">
        <f t="shared" si="9"/>
        <v/>
      </c>
      <c r="Y27" s="7" t="str">
        <f t="shared" si="10"/>
        <v/>
      </c>
      <c r="Z27" s="7"/>
      <c r="AA27" s="7"/>
      <c r="AB27" s="7"/>
      <c r="AC27" s="7"/>
      <c r="AD27" s="7"/>
    </row>
    <row r="28" spans="1:30" x14ac:dyDescent="0.2">
      <c r="B28" s="89"/>
      <c r="C28" s="14"/>
      <c r="D28" s="50"/>
      <c r="E28" s="15"/>
      <c r="F28" s="14"/>
      <c r="G28" s="16"/>
      <c r="I28" s="93" t="str">
        <f t="shared" ref="I28:I30" si="14">+IF(B28="","",B28)</f>
        <v/>
      </c>
      <c r="J28" s="56" t="str">
        <f t="shared" si="6"/>
        <v/>
      </c>
      <c r="K28" s="52" t="str">
        <f t="shared" si="1"/>
        <v/>
      </c>
      <c r="L28" s="17" t="str">
        <f t="shared" si="13"/>
        <v/>
      </c>
      <c r="M28" s="18" t="str">
        <f t="shared" si="7"/>
        <v/>
      </c>
      <c r="N28" s="53" t="str">
        <f t="shared" si="3"/>
        <v/>
      </c>
      <c r="O28" s="58" t="str">
        <f t="shared" si="11"/>
        <v/>
      </c>
      <c r="P28" s="102" t="str">
        <f t="shared" si="12"/>
        <v/>
      </c>
      <c r="U28" s="160" t="str">
        <f t="shared" si="4"/>
        <v/>
      </c>
      <c r="V28" s="160" t="str">
        <f t="shared" si="5"/>
        <v/>
      </c>
      <c r="W28" s="7" t="str">
        <f>IF(I28="","",+$S$22*I28+$S$23)</f>
        <v/>
      </c>
      <c r="X28" s="7" t="str">
        <f t="shared" si="9"/>
        <v/>
      </c>
      <c r="Y28" s="7" t="str">
        <f t="shared" si="10"/>
        <v/>
      </c>
      <c r="Z28" s="7"/>
      <c r="AA28" s="7"/>
      <c r="AB28" s="7"/>
      <c r="AC28" s="7"/>
      <c r="AD28" s="7"/>
    </row>
    <row r="29" spans="1:30" x14ac:dyDescent="0.2">
      <c r="B29" s="89"/>
      <c r="C29" s="14"/>
      <c r="D29" s="50"/>
      <c r="E29" s="15"/>
      <c r="F29" s="14"/>
      <c r="G29" s="16"/>
      <c r="I29" s="93" t="str">
        <f t="shared" si="14"/>
        <v/>
      </c>
      <c r="J29" s="56" t="str">
        <f t="shared" si="6"/>
        <v/>
      </c>
      <c r="K29" s="52" t="str">
        <f t="shared" si="1"/>
        <v/>
      </c>
      <c r="L29" s="17" t="str">
        <f t="shared" si="13"/>
        <v/>
      </c>
      <c r="M29" s="18" t="str">
        <f t="shared" si="7"/>
        <v/>
      </c>
      <c r="N29" s="53" t="str">
        <f t="shared" si="3"/>
        <v/>
      </c>
      <c r="O29" s="58" t="str">
        <f t="shared" si="11"/>
        <v/>
      </c>
      <c r="P29" s="102" t="str">
        <f t="shared" si="12"/>
        <v/>
      </c>
      <c r="U29" s="160" t="str">
        <f t="shared" si="4"/>
        <v/>
      </c>
      <c r="V29" s="160" t="str">
        <f t="shared" si="5"/>
        <v/>
      </c>
      <c r="W29" s="7" t="str">
        <f t="shared" si="8"/>
        <v/>
      </c>
      <c r="X29" s="7" t="str">
        <f t="shared" si="9"/>
        <v/>
      </c>
      <c r="Y29" s="7" t="str">
        <f t="shared" si="10"/>
        <v/>
      </c>
      <c r="Z29" s="7"/>
      <c r="AA29" s="7"/>
      <c r="AB29" s="7"/>
      <c r="AC29" s="7"/>
      <c r="AD29" s="7"/>
    </row>
    <row r="30" spans="1:30" x14ac:dyDescent="0.2">
      <c r="B30" s="90"/>
      <c r="C30" s="25"/>
      <c r="D30" s="59"/>
      <c r="E30" s="26"/>
      <c r="F30" s="25"/>
      <c r="G30" s="27"/>
      <c r="I30" s="94" t="str">
        <f t="shared" si="14"/>
        <v/>
      </c>
      <c r="J30" s="60" t="str">
        <f t="shared" si="6"/>
        <v/>
      </c>
      <c r="K30" s="61" t="str">
        <f t="shared" si="1"/>
        <v/>
      </c>
      <c r="L30" s="28" t="str">
        <f t="shared" si="13"/>
        <v/>
      </c>
      <c r="M30" s="29" t="str">
        <f t="shared" si="7"/>
        <v/>
      </c>
      <c r="N30" s="62" t="str">
        <f t="shared" si="3"/>
        <v/>
      </c>
      <c r="O30" s="63" t="str">
        <f t="shared" si="11"/>
        <v/>
      </c>
      <c r="P30" s="103" t="str">
        <f t="shared" si="12"/>
        <v/>
      </c>
      <c r="R30" s="64"/>
      <c r="U30" s="160" t="str">
        <f t="shared" si="4"/>
        <v/>
      </c>
      <c r="V30" s="160" t="str">
        <f t="shared" si="5"/>
        <v/>
      </c>
      <c r="W30" s="7" t="str">
        <f t="shared" si="8"/>
        <v/>
      </c>
      <c r="X30" s="7" t="str">
        <f t="shared" si="9"/>
        <v/>
      </c>
      <c r="Y30" s="7" t="str">
        <f t="shared" si="10"/>
        <v/>
      </c>
      <c r="Z30" s="7"/>
      <c r="AA30" s="7"/>
      <c r="AB30" s="7"/>
      <c r="AC30" s="7"/>
      <c r="AD30" s="7"/>
    </row>
    <row r="31" spans="1:30" ht="15.75" x14ac:dyDescent="0.25">
      <c r="B31" s="65"/>
      <c r="C31" s="66"/>
      <c r="D31" s="67"/>
      <c r="E31" s="67"/>
      <c r="F31" s="66"/>
      <c r="G31" s="67"/>
      <c r="H31" s="154" t="s">
        <v>175</v>
      </c>
      <c r="I31" s="155" t="e">
        <f>AVERAGE(I22:I30)</f>
        <v>#DIV/0!</v>
      </c>
      <c r="J31" s="30"/>
      <c r="K31" s="30"/>
      <c r="L31" s="64"/>
      <c r="M31" s="64"/>
      <c r="R31" s="64"/>
      <c r="U31" s="7"/>
      <c r="V31" s="7"/>
      <c r="W31" s="7" t="e">
        <f>AVERAGE(W22:W30)</f>
        <v>#DIV/0!</v>
      </c>
      <c r="X31" s="7">
        <f>+SUM(X22:X30)</f>
        <v>0</v>
      </c>
      <c r="Y31" s="7">
        <f>+SUM(Y22:Y30)</f>
        <v>0</v>
      </c>
      <c r="Z31" s="7"/>
      <c r="AA31" s="7"/>
      <c r="AB31" s="7"/>
      <c r="AC31" s="7"/>
      <c r="AD31" s="7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U32" s="7"/>
      <c r="V32" s="7"/>
      <c r="W32" s="159" t="s">
        <v>175</v>
      </c>
      <c r="X32" s="159" t="s">
        <v>178</v>
      </c>
      <c r="Y32" s="159" t="s">
        <v>178</v>
      </c>
      <c r="Z32" s="7"/>
      <c r="AA32" s="7"/>
      <c r="AB32" s="7"/>
      <c r="AC32" s="7"/>
      <c r="AD32" s="7"/>
    </row>
    <row r="33" spans="1:3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1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/>
      <c r="M34" s="31"/>
      <c r="N34" s="31"/>
      <c r="O34" s="31"/>
      <c r="P34" s="31"/>
      <c r="Q34" s="31"/>
      <c r="R34" s="31"/>
      <c r="S34" s="31"/>
      <c r="U34" s="7"/>
      <c r="V34" s="66"/>
      <c r="W34" s="66" t="e">
        <f>(2^(1-(0.5*LOG(W35)))/100)</f>
        <v>#NUM!</v>
      </c>
      <c r="X34" s="7"/>
      <c r="Y34" s="7"/>
      <c r="Z34" s="7"/>
      <c r="AA34" s="7"/>
      <c r="AB34" s="7"/>
      <c r="AC34" s="7"/>
      <c r="AD34" s="7"/>
    </row>
    <row r="35" spans="1:31" x14ac:dyDescent="0.2">
      <c r="A35" s="31"/>
      <c r="B35" s="185" t="s">
        <v>53</v>
      </c>
      <c r="C35" s="186"/>
      <c r="D35" s="70" t="str">
        <f>IF(S24="","",+S24)</f>
        <v/>
      </c>
      <c r="E35" s="187" t="s">
        <v>165</v>
      </c>
      <c r="F35" s="186"/>
      <c r="G35" s="69" t="str">
        <f>IF(D35="","",IF(D35&lt;0.99,"NO","YES"))</f>
        <v/>
      </c>
      <c r="H35" s="31"/>
      <c r="I35" s="31"/>
      <c r="J35" s="31"/>
      <c r="K35" s="33" t="s">
        <v>55</v>
      </c>
      <c r="L35" s="165"/>
      <c r="M35" s="31"/>
      <c r="N35" s="31"/>
      <c r="O35" s="31"/>
      <c r="P35" s="31"/>
      <c r="Q35" s="31"/>
      <c r="R35" s="31"/>
      <c r="S35" s="31"/>
      <c r="U35" s="7" t="s">
        <v>56</v>
      </c>
      <c r="V35" s="161" t="e">
        <f>+IF(C11="mg/kg",D48/1000000,IF(C11="ug/kg",D48/1000000000))</f>
        <v>#VALUE!</v>
      </c>
      <c r="W35" s="162">
        <f>+IF(C11="mg/kg",C10/1000000,IF(C11="ug/kg",C10/1000000000))</f>
        <v>0</v>
      </c>
      <c r="X35" s="7"/>
      <c r="Y35" s="7"/>
      <c r="Z35" s="7"/>
      <c r="AA35" s="7"/>
      <c r="AB35" s="7"/>
      <c r="AC35" s="7"/>
      <c r="AD35" s="7"/>
      <c r="AE35" s="111"/>
    </row>
    <row r="36" spans="1:31" ht="15.75" x14ac:dyDescent="0.25">
      <c r="A36" s="31"/>
      <c r="B36" s="196" t="s">
        <v>57</v>
      </c>
      <c r="C36" s="197"/>
      <c r="D36" s="71" t="str">
        <f>IF(S22="","",+MAX(U23:U30))</f>
        <v/>
      </c>
      <c r="E36" s="72" t="s">
        <v>58</v>
      </c>
      <c r="F36" s="73" t="str">
        <f>IF(S22="","",40%)</f>
        <v/>
      </c>
      <c r="G36" s="74" t="str">
        <f>+IF(D36="","",(IF(D36&gt;F36,"NO","YES")))</f>
        <v/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31" ht="15.75" x14ac:dyDescent="0.25">
      <c r="A37" s="31"/>
      <c r="B37" s="198" t="s">
        <v>59</v>
      </c>
      <c r="C37" s="199"/>
      <c r="D37" s="76" t="str">
        <f>IF(S22="","",+MAX(V23:V30))</f>
        <v/>
      </c>
      <c r="E37" s="82" t="s">
        <v>58</v>
      </c>
      <c r="F37" s="83">
        <v>0.01</v>
      </c>
      <c r="G37" s="34" t="str">
        <f>+IF(D37="","",IF(D37&gt;1%,"NO","YES"))</f>
        <v/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3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31" x14ac:dyDescent="0.2">
      <c r="A39" s="31"/>
      <c r="B39" s="118"/>
      <c r="C39" s="118"/>
      <c r="D39" s="78"/>
      <c r="E39" s="72"/>
      <c r="F39" s="75"/>
      <c r="G39" s="118"/>
      <c r="H39" s="31"/>
      <c r="I39" s="31"/>
      <c r="J39" s="31"/>
      <c r="K39" s="33" t="s">
        <v>167</v>
      </c>
      <c r="L39" s="31"/>
      <c r="M39" s="31"/>
      <c r="N39" s="31"/>
      <c r="O39" s="31"/>
      <c r="P39" s="31"/>
      <c r="Q39" s="31"/>
      <c r="R39" s="31"/>
      <c r="S39" s="31"/>
    </row>
    <row r="40" spans="1:31" ht="15.75" x14ac:dyDescent="0.25">
      <c r="A40" s="31"/>
      <c r="B40" s="79" t="s">
        <v>62</v>
      </c>
      <c r="C40" s="117"/>
      <c r="D40" s="81"/>
      <c r="E40" s="82"/>
      <c r="F40" s="83"/>
      <c r="G40" s="117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31" ht="15.75" x14ac:dyDescent="0.25">
      <c r="A41" s="31"/>
      <c r="B41" s="213" t="s">
        <v>183</v>
      </c>
      <c r="C41" s="200"/>
      <c r="D41" s="84" t="str">
        <f>IF(M22="","",IF(M22="","",(U22)))</f>
        <v/>
      </c>
      <c r="E41" s="85" t="s">
        <v>58</v>
      </c>
      <c r="F41" s="73" t="str">
        <f>IF(S22="","",40%)</f>
        <v/>
      </c>
      <c r="G41" s="69" t="str">
        <f>IF(F41="","",IF(D41="","",IF(D41&lt;F41,"YES","NO")))</f>
        <v/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31" ht="15.75" x14ac:dyDescent="0.25">
      <c r="A42" s="31"/>
      <c r="B42" s="212" t="s">
        <v>185</v>
      </c>
      <c r="C42" s="202"/>
      <c r="D42" s="71" t="str">
        <f>IF(K22="","",IF(J22="","",(V22)))</f>
        <v/>
      </c>
      <c r="E42" s="72" t="s">
        <v>58</v>
      </c>
      <c r="F42" s="75">
        <v>0.01</v>
      </c>
      <c r="G42" s="74" t="str">
        <f>IF(F42="","",IF(D42="","",IF(D42&lt;=F42,"YES","NO")))</f>
        <v/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31" ht="19.5" x14ac:dyDescent="0.35">
      <c r="A43" s="31"/>
      <c r="B43" s="204" t="s">
        <v>164</v>
      </c>
      <c r="C43" s="205"/>
      <c r="D43" s="104" t="e">
        <f>AB22</f>
        <v>#VALUE!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31" ht="21" x14ac:dyDescent="0.35">
      <c r="A44" s="31"/>
      <c r="B44" s="196" t="s">
        <v>66</v>
      </c>
      <c r="C44" s="203"/>
      <c r="D44" s="76" t="str">
        <f>IF(D48="","",D43/D48)</f>
        <v/>
      </c>
      <c r="E44" s="82" t="s">
        <v>67</v>
      </c>
      <c r="F44" s="75" t="str">
        <f>IF(D48="","",IF(V35&lt;0.00000001,20%,IF(V35&lt;0.00000012,17%,IF(V35&lt;0.000001,15%,11%))))</f>
        <v/>
      </c>
      <c r="G44" s="74" t="str">
        <f>IF(F44="","",IF(D44="","",IF(D44&lt;F44,"YES","NO")))</f>
        <v/>
      </c>
      <c r="H44" s="98" t="str">
        <f>+IF(G44="","",IF(G44="YES","→  CCα_max= ",""))</f>
        <v/>
      </c>
      <c r="I44" s="31"/>
      <c r="J44" s="125" t="str">
        <f>+IF(G44="","",IF(G44="NO","",IF(G44="YES",IF(AND(C11="ug/kg",C10&lt;10),C10+2.33*0.3*C10,IF(C10&lt;=120,C10+2.33*0.25*C10,IF(C10&lt;=1000,C10+2.33*0.22*C10,IF(C10&gt;1000,C10+2.33*0.16*C10)))))))</f>
        <v/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31" x14ac:dyDescent="0.2">
      <c r="A45" s="31"/>
      <c r="B45" s="206"/>
      <c r="C45" s="206"/>
      <c r="D45" s="207"/>
      <c r="E45" s="207"/>
      <c r="F45" s="123"/>
      <c r="G45" s="12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31" x14ac:dyDescent="0.2">
      <c r="A46" s="31"/>
      <c r="B46" s="207"/>
      <c r="C46" s="207"/>
      <c r="D46" s="121"/>
      <c r="E46" s="119"/>
      <c r="F46" s="122"/>
      <c r="G46" s="120"/>
      <c r="H46" s="31"/>
      <c r="I46" s="31"/>
      <c r="J46" s="31"/>
      <c r="K46" s="33" t="s">
        <v>167</v>
      </c>
      <c r="L46" s="31"/>
      <c r="M46" s="31"/>
      <c r="N46" s="31"/>
      <c r="O46" s="31"/>
      <c r="P46" s="31"/>
      <c r="Q46" s="31"/>
      <c r="R46" s="31"/>
      <c r="S46" s="31"/>
    </row>
    <row r="47" spans="1:31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31" ht="15.75" x14ac:dyDescent="0.25">
      <c r="A48" s="31"/>
      <c r="B48" s="118"/>
      <c r="C48" s="88" t="str">
        <f>+"Calculated concentration ("&amp;$C$11&amp;"): "</f>
        <v xml:space="preserve">Calculated concentration (ug/kg): </v>
      </c>
      <c r="D48" s="106" t="str">
        <f>IF(G41="","",IF(G42="","",+S23/S22))</f>
        <v/>
      </c>
      <c r="E48" s="118"/>
      <c r="F48" s="88" t="s">
        <v>71</v>
      </c>
      <c r="G48" s="194" t="str">
        <f>+IF(L34="","",IF(L34="NO","REPEAT",IF(D48="","COMPLIANT",IF(G41="NO","COMPLIANT",IF(AND(G44="NO",D48&lt;C10),"COMPLIANT",IF(AND(G44="NO",D48&gt;C10),"CHECK expert",IF(G42="NO","COMPLIANT",IF(D48&gt;J44,"NON COMPLIANT","COMPLIANT"))))))))</f>
        <v/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ht="15.75" x14ac:dyDescent="0.25">
      <c r="A49" s="31"/>
      <c r="B49" s="202"/>
      <c r="C49" s="202"/>
      <c r="D49" s="169" t="s">
        <v>181</v>
      </c>
      <c r="E49" s="202"/>
      <c r="F49" s="202"/>
      <c r="G49" s="118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/>
    </row>
    <row r="57" spans="1:19" x14ac:dyDescent="0.2">
      <c r="B57" s="170">
        <f>B22</f>
        <v>0</v>
      </c>
      <c r="C57" s="171" t="str">
        <f>L22</f>
        <v/>
      </c>
    </row>
    <row r="58" spans="1:19" x14ac:dyDescent="0.2">
      <c r="B58" s="170">
        <f t="shared" ref="B58:B65" si="15">B23</f>
        <v>0</v>
      </c>
      <c r="C58" s="171" t="str">
        <f t="shared" ref="C58:C65" si="16">L23</f>
        <v/>
      </c>
    </row>
    <row r="59" spans="1:19" x14ac:dyDescent="0.2">
      <c r="B59" s="170">
        <f t="shared" si="15"/>
        <v>0</v>
      </c>
      <c r="C59" s="171" t="str">
        <f t="shared" si="16"/>
        <v/>
      </c>
    </row>
    <row r="60" spans="1:19" x14ac:dyDescent="0.2">
      <c r="B60" s="170">
        <f t="shared" si="15"/>
        <v>0</v>
      </c>
      <c r="C60" s="171" t="str">
        <f t="shared" si="16"/>
        <v/>
      </c>
    </row>
    <row r="61" spans="1:19" x14ac:dyDescent="0.2">
      <c r="B61" s="170">
        <f t="shared" si="15"/>
        <v>0</v>
      </c>
      <c r="C61" s="171" t="str">
        <f t="shared" si="16"/>
        <v/>
      </c>
    </row>
    <row r="62" spans="1:19" x14ac:dyDescent="0.2">
      <c r="B62" s="170">
        <f t="shared" si="15"/>
        <v>0</v>
      </c>
      <c r="C62" s="171" t="str">
        <f t="shared" si="16"/>
        <v/>
      </c>
    </row>
    <row r="63" spans="1:19" x14ac:dyDescent="0.2">
      <c r="B63" s="170">
        <f t="shared" si="15"/>
        <v>0</v>
      </c>
      <c r="C63" s="171" t="str">
        <f t="shared" si="16"/>
        <v/>
      </c>
    </row>
    <row r="64" spans="1:19" x14ac:dyDescent="0.2">
      <c r="B64" s="170">
        <f t="shared" si="15"/>
        <v>0</v>
      </c>
      <c r="C64" s="171" t="str">
        <f t="shared" si="16"/>
        <v/>
      </c>
    </row>
    <row r="65" spans="2:3" x14ac:dyDescent="0.2">
      <c r="B65" s="170">
        <f t="shared" si="15"/>
        <v>0</v>
      </c>
      <c r="C65" s="171" t="str">
        <f t="shared" si="16"/>
        <v/>
      </c>
    </row>
    <row r="66" spans="2:3" x14ac:dyDescent="0.2">
      <c r="B66" s="170"/>
      <c r="C66" s="171"/>
    </row>
    <row r="67" spans="2:3" x14ac:dyDescent="0.2">
      <c r="B67" s="170"/>
      <c r="C67" s="171"/>
    </row>
    <row r="68" spans="2:3" x14ac:dyDescent="0.2">
      <c r="B68" s="170"/>
      <c r="C68" s="171"/>
    </row>
    <row r="69" spans="2:3" x14ac:dyDescent="0.2">
      <c r="C69" s="134"/>
    </row>
  </sheetData>
  <sheetProtection autoFilter="0"/>
  <mergeCells count="28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B49:C49"/>
    <mergeCell ref="E49:F49"/>
    <mergeCell ref="B52:S52"/>
    <mergeCell ref="D45:E45"/>
    <mergeCell ref="B43:C43"/>
    <mergeCell ref="B44:C44"/>
    <mergeCell ref="B45:C45"/>
    <mergeCell ref="B46:C46"/>
    <mergeCell ref="B47:C47"/>
    <mergeCell ref="G48:H48"/>
  </mergeCells>
  <dataValidations count="1">
    <dataValidation type="list" allowBlank="1" showInputMessage="1" showErrorMessage="1" sqref="C11" xr:uid="{7F77613C-69C8-44B7-ACD5-469FA4C95EA7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042D-5C89-4C69-89CD-B8ABEA1C03F0}">
  <sheetPr>
    <pageSetUpPr fitToPage="1"/>
  </sheetPr>
  <dimension ref="A1:AD56"/>
  <sheetViews>
    <sheetView topLeftCell="A14" zoomScale="70" zoomScaleNormal="70" zoomScaleSheetLayoutView="70" zoomScalePageLayoutView="40" workbookViewId="0">
      <selection activeCell="B1" sqref="B1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18.85546875" style="3" customWidth="1"/>
    <col min="22" max="22" width="21.28515625" style="3" customWidth="1"/>
    <col min="23" max="23" width="17.5703125" style="3" customWidth="1"/>
    <col min="24" max="24" width="16.28515625" style="3" bestFit="1" customWidth="1"/>
    <col min="25" max="27" width="9.140625" style="3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 t="s">
        <v>0</v>
      </c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</v>
      </c>
      <c r="C3" s="1"/>
      <c r="D3" s="1"/>
      <c r="F3" s="1"/>
      <c r="G3" s="1"/>
      <c r="H3" s="1"/>
      <c r="I3" s="1"/>
      <c r="J3" s="1"/>
      <c r="K3" s="1"/>
      <c r="U3" s="3" t="s">
        <v>2</v>
      </c>
    </row>
    <row r="4" spans="1:21" x14ac:dyDescent="0.2">
      <c r="A4" s="1"/>
      <c r="E4" s="1"/>
      <c r="F4" s="1"/>
      <c r="G4" s="1"/>
      <c r="H4" s="1"/>
      <c r="I4" s="1"/>
      <c r="J4" s="1"/>
      <c r="K4" s="1"/>
      <c r="U4" s="3" t="s">
        <v>3</v>
      </c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>
        <v>44655</v>
      </c>
      <c r="D6" s="1"/>
      <c r="E6" s="1"/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 t="s">
        <v>6</v>
      </c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>
        <v>3125</v>
      </c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 t="s">
        <v>74</v>
      </c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10</v>
      </c>
      <c r="C10" s="9">
        <v>800</v>
      </c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 t="s">
        <v>75</v>
      </c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15</v>
      </c>
      <c r="C18" s="175">
        <v>659592</v>
      </c>
      <c r="D18" s="176"/>
      <c r="E18" s="1"/>
      <c r="G18" s="1"/>
      <c r="H18" s="1"/>
      <c r="I18" s="1" t="s">
        <v>16</v>
      </c>
      <c r="L18" s="1"/>
      <c r="M18" s="1"/>
      <c r="N18" s="1"/>
      <c r="O18" s="1"/>
    </row>
    <row r="19" spans="1:30" ht="21" x14ac:dyDescent="0.35">
      <c r="A19" s="1"/>
      <c r="I19" s="95" t="s">
        <v>17</v>
      </c>
    </row>
    <row r="20" spans="1:30" ht="15.75" x14ac:dyDescent="0.25">
      <c r="B20" s="41" t="s">
        <v>18</v>
      </c>
      <c r="C20" s="177" t="s">
        <v>19</v>
      </c>
      <c r="D20" s="179" t="s">
        <v>20</v>
      </c>
      <c r="E20" s="179" t="s">
        <v>21</v>
      </c>
      <c r="F20" s="177" t="s">
        <v>22</v>
      </c>
      <c r="G20" s="181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42" t="s">
        <v>29</v>
      </c>
      <c r="P20" s="43"/>
      <c r="R20" s="7"/>
      <c r="S20" s="11" t="s">
        <v>30</v>
      </c>
    </row>
    <row r="21" spans="1:30" x14ac:dyDescent="0.2">
      <c r="B21" s="44" t="str">
        <f>+"("&amp;$C$11&amp;")"</f>
        <v>(ug/kg)</v>
      </c>
      <c r="C21" s="178"/>
      <c r="D21" s="180"/>
      <c r="E21" s="180"/>
      <c r="F21" s="178"/>
      <c r="G21" s="182"/>
      <c r="I21" s="23" t="str">
        <f>+"("&amp;$C$11&amp;")"</f>
        <v>(ug/kg)</v>
      </c>
      <c r="J21" s="178"/>
      <c r="K21" s="45" t="s">
        <v>31</v>
      </c>
      <c r="L21" s="178"/>
      <c r="M21" s="184"/>
      <c r="N21" s="46" t="s">
        <v>31</v>
      </c>
      <c r="O21" s="45" t="s">
        <v>32</v>
      </c>
      <c r="P21" s="47" t="s">
        <v>33</v>
      </c>
      <c r="R21" s="7"/>
      <c r="S21" s="47"/>
      <c r="U21" s="48" t="s">
        <v>34</v>
      </c>
      <c r="V21" s="48" t="s">
        <v>35</v>
      </c>
      <c r="W21" s="3" t="s">
        <v>36</v>
      </c>
      <c r="X21" s="3" t="s">
        <v>37</v>
      </c>
      <c r="Y21" s="3" t="s">
        <v>38</v>
      </c>
      <c r="Z21" s="3" t="s">
        <v>39</v>
      </c>
      <c r="AA21" s="3" t="s">
        <v>40</v>
      </c>
      <c r="AB21" s="3" t="s">
        <v>41</v>
      </c>
      <c r="AC21" s="3" t="s">
        <v>42</v>
      </c>
      <c r="AD21" s="3" t="s">
        <v>43</v>
      </c>
    </row>
    <row r="22" spans="1:30" x14ac:dyDescent="0.2">
      <c r="B22" s="49">
        <v>0</v>
      </c>
      <c r="C22" s="14">
        <v>4.1500000000000004</v>
      </c>
      <c r="D22" s="50">
        <v>25450000</v>
      </c>
      <c r="E22" s="15">
        <v>17050000</v>
      </c>
      <c r="F22" s="14">
        <v>4.1500000000000004</v>
      </c>
      <c r="G22" s="16">
        <v>3374000</v>
      </c>
      <c r="I22" s="49">
        <f>+B22</f>
        <v>0</v>
      </c>
      <c r="J22" s="51">
        <f t="shared" ref="J22:J30" si="0">+IF(B22="","",(IF(F22="","",(C22/F22))))</f>
        <v>1</v>
      </c>
      <c r="K22" s="52">
        <f t="shared" ref="K22:K30" si="1">+IF(J22="","",((((J22-(AVERAGE(J$24:J$30)))/(AVERAGE(J$24:J$30))))))</f>
        <v>-1.6164899664614803E-3</v>
      </c>
      <c r="L22" s="12">
        <f t="shared" ref="L22:L23" si="2">+IF(B22="","",(IF(G22="","",IF(I22="","",((D22)/(G22))))))</f>
        <v>7.5429756965026673</v>
      </c>
      <c r="M22" s="13">
        <f>IF(I22="","",IF(OR(B22="",E22="",G22=""),"",E22/D22))</f>
        <v>0.66994106090373284</v>
      </c>
      <c r="N22" s="53">
        <f t="shared" ref="N22:N30" si="3">+IF(M22="","",((((M22-(AVERAGE(M$24:M$30))))/(AVERAGE(M$24:M$30)))))</f>
        <v>-0.10723518192397712</v>
      </c>
      <c r="O22" s="54"/>
      <c r="P22" s="11"/>
      <c r="R22" s="19" t="s">
        <v>44</v>
      </c>
      <c r="S22" s="20">
        <f>IF(COUNT(L22:L30)&gt;0,SLOPE(L22:L30,I22:I30),"")</f>
        <v>1.6047196826571408E-2</v>
      </c>
      <c r="U22" s="48">
        <f t="shared" ref="U22:U30" si="4">IF(N22="","",(ABS(N22)))</f>
        <v>0.10723518192397712</v>
      </c>
      <c r="V22" s="48">
        <f t="shared" ref="V22:V30" si="5">IF(K22="","",(ABS(K22)))</f>
        <v>1.6164899664614803E-3</v>
      </c>
      <c r="W22" s="3">
        <f>IF(I22="","",+$S$22*I22+$S$23)</f>
        <v>7.0959041133727165</v>
      </c>
      <c r="X22" s="3">
        <f>IF(I22="","",(L22-W22)^2)</f>
        <v>0.19987300044232048</v>
      </c>
      <c r="Y22" s="3">
        <f>IF(I22="","",(I22-AVERAGE($I$22:$I$30))^2)</f>
        <v>180625</v>
      </c>
      <c r="Z22" s="92">
        <f>+AVERAGE(L22:L30)</f>
        <v>13.915962764665565</v>
      </c>
      <c r="AA22" s="3">
        <f>+SQRT(X32/(COUNT(I22:I30)-2))</f>
        <v>0.81702349405753638</v>
      </c>
      <c r="AB22" s="91">
        <f>(AA22/S22)*SQRT(1/(COUNT(I22:I30))+((Z22^2)/(S22^2*Y32)))</f>
        <v>40.269033825580237</v>
      </c>
      <c r="AC22" s="3">
        <f>+_xlfn.T.INV(0.95,(COUNT(I22:I30)-2))</f>
        <v>2.131846786326649</v>
      </c>
      <c r="AD22" s="3">
        <f>+AC22*AB22</f>
        <v>85.847410349542358</v>
      </c>
    </row>
    <row r="23" spans="1:30" x14ac:dyDescent="0.2">
      <c r="B23" s="55">
        <v>0</v>
      </c>
      <c r="C23" s="14">
        <v>4.13</v>
      </c>
      <c r="D23" s="50">
        <v>22530000</v>
      </c>
      <c r="E23" s="15">
        <v>16410000</v>
      </c>
      <c r="F23" s="14">
        <v>4.12</v>
      </c>
      <c r="G23" s="16">
        <v>3385000</v>
      </c>
      <c r="I23" s="55">
        <f t="shared" ref="I23" si="6">+B23</f>
        <v>0</v>
      </c>
      <c r="J23" s="56">
        <f t="shared" si="0"/>
        <v>1.0024271844660193</v>
      </c>
      <c r="K23" s="52">
        <f t="shared" si="1"/>
        <v>8.0677098022175376E-4</v>
      </c>
      <c r="L23" s="17">
        <f t="shared" si="2"/>
        <v>6.6558345642540617</v>
      </c>
      <c r="M23" s="18">
        <f t="shared" ref="M23:M30" si="7">IF(I23="","",IF(OR(B23="",E23="",G23=""),"",E23/D23))</f>
        <v>0.7283621837549934</v>
      </c>
      <c r="N23" s="53">
        <f t="shared" si="3"/>
        <v>-2.9383074988263834E-2</v>
      </c>
      <c r="O23" s="54"/>
      <c r="P23" s="57"/>
      <c r="R23" s="21" t="s">
        <v>45</v>
      </c>
      <c r="S23" s="22">
        <f>IF(S22="","",INTERCEPT(L22:L30,I22:I30))</f>
        <v>7.0959041133727165</v>
      </c>
      <c r="U23" s="48">
        <f t="shared" si="4"/>
        <v>2.9383074988263834E-2</v>
      </c>
      <c r="V23" s="48">
        <f t="shared" si="5"/>
        <v>8.0677098022175376E-4</v>
      </c>
      <c r="W23" s="3">
        <f t="shared" ref="W23:W30" si="8">IF(I23="","",+$S$22*I23+$S$23)</f>
        <v>7.0959041133727165</v>
      </c>
      <c r="X23" s="3">
        <f t="shared" ref="X23:X30" si="9">IF(I23="","",(L23-W23)^2)</f>
        <v>0.19366120806149614</v>
      </c>
      <c r="Y23" s="3">
        <f t="shared" ref="Y23:Y30" si="10">IF(I23="","",(I23-AVERAGE($I$22:$I$30))^2)</f>
        <v>180625</v>
      </c>
    </row>
    <row r="24" spans="1:30" x14ac:dyDescent="0.2">
      <c r="B24" s="89">
        <v>75</v>
      </c>
      <c r="C24" s="14">
        <v>4.13</v>
      </c>
      <c r="D24" s="50">
        <v>26530000</v>
      </c>
      <c r="E24" s="15">
        <v>20140000</v>
      </c>
      <c r="F24" s="14">
        <v>4.12</v>
      </c>
      <c r="G24" s="16">
        <v>3161000</v>
      </c>
      <c r="I24" s="93"/>
      <c r="J24" s="56">
        <f t="shared" si="0"/>
        <v>1.0024271844660193</v>
      </c>
      <c r="K24" s="52">
        <f t="shared" si="1"/>
        <v>8.0677098022175376E-4</v>
      </c>
      <c r="L24" s="17" t="str">
        <f>+IF(B24="","",(IF(G24="","",IF(I24="","",((D24)/(G24))))))</f>
        <v/>
      </c>
      <c r="M24" s="18" t="str">
        <f t="shared" si="7"/>
        <v/>
      </c>
      <c r="N24" s="53" t="str">
        <f t="shared" si="3"/>
        <v/>
      </c>
      <c r="O24" s="58" t="str">
        <f t="shared" ref="O24:O30" si="11">IF(L24="","",(L24-$S$23)/$S$22)</f>
        <v/>
      </c>
      <c r="P24" s="102" t="str">
        <f t="shared" ref="P24:P30" si="12">IF(O24="","",+O24/B24)</f>
        <v/>
      </c>
      <c r="R24" s="23" t="s">
        <v>46</v>
      </c>
      <c r="S24" s="24">
        <f>IF(S22="","",CORREL(L22:L30,I22:I30))</f>
        <v>0.99685128724522742</v>
      </c>
      <c r="U24" s="48" t="str">
        <f t="shared" si="4"/>
        <v/>
      </c>
      <c r="V24" s="48">
        <f t="shared" si="5"/>
        <v>8.0677098022175376E-4</v>
      </c>
      <c r="W24" s="3" t="str">
        <f t="shared" si="8"/>
        <v/>
      </c>
      <c r="X24" s="3" t="str">
        <f t="shared" si="9"/>
        <v/>
      </c>
      <c r="Y24" s="3" t="str">
        <f t="shared" si="10"/>
        <v/>
      </c>
    </row>
    <row r="25" spans="1:30" x14ac:dyDescent="0.2">
      <c r="B25" s="89">
        <v>150</v>
      </c>
      <c r="C25" s="14">
        <v>4.1399999999999997</v>
      </c>
      <c r="D25" s="50">
        <v>30320000</v>
      </c>
      <c r="E25" s="15">
        <v>22750000</v>
      </c>
      <c r="F25" s="14">
        <v>4.1399999999999997</v>
      </c>
      <c r="G25" s="16">
        <v>2892000</v>
      </c>
      <c r="I25" s="93">
        <v>150</v>
      </c>
      <c r="J25" s="56">
        <f t="shared" si="0"/>
        <v>1</v>
      </c>
      <c r="K25" s="52">
        <f t="shared" si="1"/>
        <v>-1.6164899664614803E-3</v>
      </c>
      <c r="L25" s="17">
        <f t="shared" ref="L25:L30" si="13">+IF(B25="","",(IF(G25="","",IF(I25="","",((D25)/(G25))))))</f>
        <v>10.484094052558783</v>
      </c>
      <c r="M25" s="18">
        <f t="shared" si="7"/>
        <v>0.75032981530343013</v>
      </c>
      <c r="N25" s="53">
        <f t="shared" si="3"/>
        <v>-1.0896458152858726E-4</v>
      </c>
      <c r="O25" s="58">
        <f t="shared" si="11"/>
        <v>211.13905287033089</v>
      </c>
      <c r="P25" s="102">
        <f t="shared" si="12"/>
        <v>1.407593685802206</v>
      </c>
      <c r="Q25" s="7"/>
      <c r="R25" s="30"/>
      <c r="U25" s="48">
        <f t="shared" si="4"/>
        <v>1.0896458152858726E-4</v>
      </c>
      <c r="V25" s="48">
        <f t="shared" si="5"/>
        <v>1.6164899664614803E-3</v>
      </c>
      <c r="W25" s="3">
        <f t="shared" si="8"/>
        <v>9.5029836373584278</v>
      </c>
      <c r="X25" s="3">
        <f t="shared" si="9"/>
        <v>0.96257764681461322</v>
      </c>
      <c r="Y25" s="3">
        <f t="shared" si="10"/>
        <v>75625</v>
      </c>
    </row>
    <row r="26" spans="1:30" x14ac:dyDescent="0.2">
      <c r="B26" s="89">
        <v>300</v>
      </c>
      <c r="C26" s="14">
        <v>4.13</v>
      </c>
      <c r="D26" s="50">
        <v>35660000</v>
      </c>
      <c r="E26" s="15">
        <v>27090000</v>
      </c>
      <c r="F26" s="14">
        <v>4.12</v>
      </c>
      <c r="G26" s="16">
        <v>3311000</v>
      </c>
      <c r="I26" s="93">
        <f t="shared" ref="I26:I28" si="14">+IF(B26="","",B26)</f>
        <v>300</v>
      </c>
      <c r="J26" s="56">
        <f t="shared" si="0"/>
        <v>1.0024271844660193</v>
      </c>
      <c r="K26" s="52">
        <f t="shared" si="1"/>
        <v>8.0677098022175376E-4</v>
      </c>
      <c r="L26" s="17">
        <f t="shared" si="13"/>
        <v>10.770160072485654</v>
      </c>
      <c r="M26" s="18">
        <f t="shared" si="7"/>
        <v>0.75967470555243966</v>
      </c>
      <c r="N26" s="53">
        <f t="shared" si="3"/>
        <v>1.2344055139106525E-2</v>
      </c>
      <c r="O26" s="58">
        <f t="shared" si="11"/>
        <v>228.96559435408673</v>
      </c>
      <c r="P26" s="102">
        <f t="shared" si="12"/>
        <v>0.76321864784695581</v>
      </c>
      <c r="Q26" s="7"/>
      <c r="R26" s="30"/>
      <c r="U26" s="48">
        <f t="shared" si="4"/>
        <v>1.2344055139106525E-2</v>
      </c>
      <c r="V26" s="48">
        <f t="shared" si="5"/>
        <v>8.0677098022175376E-4</v>
      </c>
      <c r="W26" s="3">
        <f t="shared" si="8"/>
        <v>11.910063161344139</v>
      </c>
      <c r="X26" s="3">
        <f t="shared" si="9"/>
        <v>1.299379051989116</v>
      </c>
      <c r="Y26" s="3">
        <f t="shared" si="10"/>
        <v>15625</v>
      </c>
    </row>
    <row r="27" spans="1:30" x14ac:dyDescent="0.2">
      <c r="B27" s="89">
        <v>600</v>
      </c>
      <c r="C27" s="14">
        <v>4.13</v>
      </c>
      <c r="D27" s="50">
        <v>48690000</v>
      </c>
      <c r="E27" s="15">
        <v>35600000</v>
      </c>
      <c r="F27" s="14">
        <v>4.12</v>
      </c>
      <c r="G27" s="16">
        <v>2905000</v>
      </c>
      <c r="I27" s="93">
        <f t="shared" si="14"/>
        <v>600</v>
      </c>
      <c r="J27" s="56">
        <f t="shared" si="0"/>
        <v>1.0024271844660193</v>
      </c>
      <c r="K27" s="52">
        <f t="shared" si="1"/>
        <v>8.0677098022175376E-4</v>
      </c>
      <c r="L27" s="17">
        <f t="shared" si="13"/>
        <v>16.760757314974182</v>
      </c>
      <c r="M27" s="18">
        <f t="shared" si="7"/>
        <v>0.73115629492708978</v>
      </c>
      <c r="N27" s="53">
        <f t="shared" si="3"/>
        <v>-2.5659636766883858E-2</v>
      </c>
      <c r="O27" s="58">
        <f t="shared" si="11"/>
        <v>602.27672820701775</v>
      </c>
      <c r="P27" s="102">
        <f t="shared" si="12"/>
        <v>1.0037945470116962</v>
      </c>
      <c r="Q27" s="7"/>
      <c r="R27" s="30"/>
      <c r="U27" s="48">
        <f t="shared" si="4"/>
        <v>2.5659636766883858E-2</v>
      </c>
      <c r="V27" s="48">
        <f t="shared" si="5"/>
        <v>8.0677098022175376E-4</v>
      </c>
      <c r="W27" s="3">
        <f t="shared" si="8"/>
        <v>16.724222209315563</v>
      </c>
      <c r="X27" s="3">
        <f t="shared" si="9"/>
        <v>1.3348139454864179E-3</v>
      </c>
      <c r="Y27" s="3">
        <f t="shared" si="10"/>
        <v>30625</v>
      </c>
    </row>
    <row r="28" spans="1:30" x14ac:dyDescent="0.2">
      <c r="B28" s="89">
        <v>1500</v>
      </c>
      <c r="C28" s="14">
        <v>4.12</v>
      </c>
      <c r="D28" s="50">
        <v>83210000</v>
      </c>
      <c r="E28" s="15">
        <v>63280000</v>
      </c>
      <c r="F28" s="14">
        <v>4.12</v>
      </c>
      <c r="G28" s="16">
        <v>2660000</v>
      </c>
      <c r="I28" s="93">
        <f t="shared" si="14"/>
        <v>1500</v>
      </c>
      <c r="J28" s="56">
        <f t="shared" si="0"/>
        <v>1</v>
      </c>
      <c r="K28" s="52">
        <f t="shared" si="1"/>
        <v>-1.6164899664614803E-3</v>
      </c>
      <c r="L28" s="17">
        <f t="shared" si="13"/>
        <v>31.281954887218046</v>
      </c>
      <c r="M28" s="18">
        <f t="shared" si="7"/>
        <v>0.76048551856747992</v>
      </c>
      <c r="N28" s="53">
        <f t="shared" si="3"/>
        <v>1.3424546209305476E-2</v>
      </c>
      <c r="O28" s="58">
        <f t="shared" si="11"/>
        <v>1507.1822845593429</v>
      </c>
      <c r="P28" s="102">
        <f t="shared" si="12"/>
        <v>1.0047881897062285</v>
      </c>
      <c r="U28" s="48">
        <f t="shared" si="4"/>
        <v>1.3424546209305476E-2</v>
      </c>
      <c r="V28" s="48">
        <f t="shared" si="5"/>
        <v>1.6164899664614803E-3</v>
      </c>
      <c r="W28" s="3">
        <f t="shared" si="8"/>
        <v>31.166699353229831</v>
      </c>
      <c r="X28" s="3">
        <f t="shared" si="9"/>
        <v>1.3283838114908552E-2</v>
      </c>
      <c r="Y28" s="3">
        <f t="shared" si="10"/>
        <v>1155625</v>
      </c>
    </row>
    <row r="29" spans="1:30" x14ac:dyDescent="0.2">
      <c r="B29" s="89">
        <v>3000</v>
      </c>
      <c r="C29" s="14">
        <v>4.12</v>
      </c>
      <c r="D29" s="50">
        <v>122700000</v>
      </c>
      <c r="E29" s="15">
        <v>93340000</v>
      </c>
      <c r="F29" s="14">
        <v>4.1100000000000003</v>
      </c>
      <c r="G29" s="16">
        <v>2297000</v>
      </c>
      <c r="I29" s="93"/>
      <c r="J29" s="56">
        <f t="shared" si="0"/>
        <v>1.0024330900243308</v>
      </c>
      <c r="K29" s="52">
        <f t="shared" si="1"/>
        <v>8.1266699225747776E-4</v>
      </c>
      <c r="L29" s="17" t="str">
        <f t="shared" si="13"/>
        <v/>
      </c>
      <c r="M29" s="18" t="str">
        <f t="shared" si="7"/>
        <v/>
      </c>
      <c r="N29" s="53" t="str">
        <f t="shared" si="3"/>
        <v/>
      </c>
      <c r="O29" s="58" t="str">
        <f t="shared" si="11"/>
        <v/>
      </c>
      <c r="P29" s="102" t="str">
        <f t="shared" si="12"/>
        <v/>
      </c>
      <c r="U29" s="48" t="str">
        <f t="shared" si="4"/>
        <v/>
      </c>
      <c r="V29" s="48">
        <f t="shared" si="5"/>
        <v>8.1266699225747776E-4</v>
      </c>
      <c r="W29" s="3" t="str">
        <f t="shared" si="8"/>
        <v/>
      </c>
      <c r="X29" s="3" t="str">
        <f t="shared" si="9"/>
        <v/>
      </c>
      <c r="Y29" s="3" t="str">
        <f t="shared" si="10"/>
        <v/>
      </c>
    </row>
    <row r="30" spans="1:30" x14ac:dyDescent="0.2">
      <c r="B30" s="90"/>
      <c r="C30" s="25"/>
      <c r="D30" s="59"/>
      <c r="E30" s="26"/>
      <c r="F30" s="25"/>
      <c r="G30" s="27"/>
      <c r="I30" s="94"/>
      <c r="J30" s="60" t="str">
        <f t="shared" si="0"/>
        <v/>
      </c>
      <c r="K30" s="61" t="str">
        <f t="shared" si="1"/>
        <v/>
      </c>
      <c r="L30" s="28" t="str">
        <f t="shared" si="13"/>
        <v/>
      </c>
      <c r="M30" s="29" t="str">
        <f t="shared" si="7"/>
        <v/>
      </c>
      <c r="N30" s="62" t="str">
        <f t="shared" si="3"/>
        <v/>
      </c>
      <c r="O30" s="63" t="str">
        <f t="shared" si="11"/>
        <v/>
      </c>
      <c r="P30" s="103" t="str">
        <f t="shared" si="12"/>
        <v/>
      </c>
      <c r="R30" s="64"/>
      <c r="U30" s="48" t="str">
        <f t="shared" si="4"/>
        <v/>
      </c>
      <c r="V30" s="48" t="str">
        <f t="shared" si="5"/>
        <v/>
      </c>
      <c r="W30" s="3" t="str">
        <f t="shared" si="8"/>
        <v/>
      </c>
      <c r="X30" s="3" t="str">
        <f t="shared" si="9"/>
        <v/>
      </c>
      <c r="Y30" s="3" t="str">
        <f t="shared" si="10"/>
        <v/>
      </c>
    </row>
    <row r="31" spans="1:30" x14ac:dyDescent="0.2">
      <c r="B31" s="65"/>
      <c r="C31" s="66"/>
      <c r="D31" s="67"/>
      <c r="E31" s="67"/>
      <c r="F31" s="66"/>
      <c r="G31" s="67"/>
      <c r="J31" s="30"/>
      <c r="K31" s="30"/>
      <c r="L31" s="64"/>
      <c r="M31" s="64"/>
      <c r="R31" s="64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X32" s="3">
        <f>+SUM(X22:X30)</f>
        <v>2.6701095593679409</v>
      </c>
      <c r="Y32" s="3">
        <f>+SUM(Y22:Y30)</f>
        <v>1638750</v>
      </c>
    </row>
    <row r="33" spans="1:22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22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 t="str">
        <f>IF(C17="","",IF(COUNTIF(G35:G37,"NO")&gt;0,"NO",IF(COUNT(N24:N30)&lt;3,"NO","YES")))</f>
        <v>YES</v>
      </c>
      <c r="M34" s="31"/>
      <c r="N34" s="31"/>
      <c r="O34" s="31"/>
      <c r="P34" s="31"/>
      <c r="Q34" s="31"/>
      <c r="R34" s="31"/>
      <c r="S34" s="31"/>
      <c r="U34" s="3" t="s">
        <v>52</v>
      </c>
      <c r="V34" s="91">
        <f>(2^(1-(0.5*LOG(V35)))/100)</f>
        <v>0.18090943182541064</v>
      </c>
    </row>
    <row r="35" spans="1:22" x14ac:dyDescent="0.2">
      <c r="A35" s="31"/>
      <c r="B35" s="185" t="s">
        <v>53</v>
      </c>
      <c r="C35" s="186"/>
      <c r="D35" s="70">
        <f>IF(S24="","",+S24)</f>
        <v>0.99685128724522742</v>
      </c>
      <c r="E35" s="187" t="s">
        <v>54</v>
      </c>
      <c r="F35" s="186"/>
      <c r="G35" s="69" t="str">
        <f>IF(D35="","",IF(D35&lt;0.99,"NO","YES"))</f>
        <v>YES</v>
      </c>
      <c r="H35" s="31"/>
      <c r="I35" s="31"/>
      <c r="J35" s="31"/>
      <c r="K35" s="33" t="s">
        <v>55</v>
      </c>
      <c r="L35" s="35"/>
      <c r="M35" s="31"/>
      <c r="N35" s="31"/>
      <c r="O35" s="31"/>
      <c r="P35" s="31"/>
      <c r="Q35" s="31"/>
      <c r="R35" s="31"/>
      <c r="S35" s="31"/>
      <c r="U35" s="3" t="s">
        <v>56</v>
      </c>
      <c r="V35" s="100">
        <f>+IF(C11="mg/kg",D48/1000000,IF(C11="ug/kg",D48/1000000000))</f>
        <v>4.4218963536504485E-7</v>
      </c>
    </row>
    <row r="36" spans="1:22" ht="15.75" x14ac:dyDescent="0.25">
      <c r="A36" s="31"/>
      <c r="B36" s="196" t="s">
        <v>57</v>
      </c>
      <c r="C36" s="197"/>
      <c r="D36" s="71">
        <f>IF(S22="","",+MAX(U24:U30))</f>
        <v>2.5659636766883858E-2</v>
      </c>
      <c r="E36" s="72" t="s">
        <v>58</v>
      </c>
      <c r="F36" s="73">
        <f>IF(S22="","",40%)</f>
        <v>0.4</v>
      </c>
      <c r="G36" s="74" t="str">
        <f>+IF(D36="","",(IF(D36&gt;F36,"NO","YES")))</f>
        <v>YES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2" ht="15.75" x14ac:dyDescent="0.25">
      <c r="A37" s="31"/>
      <c r="B37" s="198" t="s">
        <v>59</v>
      </c>
      <c r="C37" s="199"/>
      <c r="D37" s="76">
        <f>IF(S22="","",+MAX(V24:V30))</f>
        <v>1.6164899664614803E-3</v>
      </c>
      <c r="E37" s="82" t="s">
        <v>58</v>
      </c>
      <c r="F37" s="83">
        <v>0.01</v>
      </c>
      <c r="G37" s="34" t="str">
        <f>+IF(D37="","",IF(D37&gt;1%,"NO","YES"))</f>
        <v>YES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22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22" x14ac:dyDescent="0.2">
      <c r="A39" s="31"/>
      <c r="B39" s="77"/>
      <c r="C39" s="77"/>
      <c r="D39" s="78"/>
      <c r="E39" s="72"/>
      <c r="F39" s="75"/>
      <c r="G39" s="77"/>
      <c r="H39" s="31"/>
      <c r="I39" s="31"/>
      <c r="J39" s="31"/>
      <c r="K39" s="33" t="s">
        <v>61</v>
      </c>
      <c r="L39" s="31"/>
      <c r="M39" s="31"/>
      <c r="N39" s="31"/>
      <c r="O39" s="31"/>
      <c r="P39" s="31"/>
      <c r="Q39" s="31"/>
      <c r="R39" s="31"/>
      <c r="S39" s="31"/>
    </row>
    <row r="40" spans="1:22" ht="15.75" x14ac:dyDescent="0.25">
      <c r="A40" s="31"/>
      <c r="B40" s="79" t="s">
        <v>62</v>
      </c>
      <c r="C40" s="80"/>
      <c r="D40" s="81"/>
      <c r="E40" s="82"/>
      <c r="F40" s="83"/>
      <c r="G40" s="8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2" ht="15.75" x14ac:dyDescent="0.25">
      <c r="A41" s="31"/>
      <c r="B41" s="185" t="s">
        <v>63</v>
      </c>
      <c r="C41" s="200"/>
      <c r="D41" s="84">
        <f>IF(M22="","",IF(M23="","",MAX(U22,U23)))</f>
        <v>0.10723518192397712</v>
      </c>
      <c r="E41" s="85" t="s">
        <v>58</v>
      </c>
      <c r="F41" s="73">
        <f>IF(S22="","",40%)</f>
        <v>0.4</v>
      </c>
      <c r="G41" s="69" t="str">
        <f>IF(F41="","",IF(D41="","",IF(D41&lt;F41,"YES","NO")))</f>
        <v>YES</v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22" ht="15.75" x14ac:dyDescent="0.25">
      <c r="A42" s="31"/>
      <c r="B42" s="196" t="s">
        <v>64</v>
      </c>
      <c r="C42" s="202"/>
      <c r="D42" s="71">
        <f>IF(J23="","",IF(J22="","",MAX(V22,V23)))</f>
        <v>1.6164899664614803E-3</v>
      </c>
      <c r="E42" s="72" t="s">
        <v>58</v>
      </c>
      <c r="F42" s="75">
        <v>0.01</v>
      </c>
      <c r="G42" s="74" t="str">
        <f>IF(F42="","",IF(D42="","",IF(D42&lt;=F42,"YES","NO")))</f>
        <v>YES</v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22" ht="19.5" x14ac:dyDescent="0.35">
      <c r="A43" s="31"/>
      <c r="B43" s="196" t="s">
        <v>65</v>
      </c>
      <c r="C43" s="203"/>
      <c r="D43" s="104">
        <f>AB22</f>
        <v>40.269033825580237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22" ht="21" x14ac:dyDescent="0.35">
      <c r="A44" s="31"/>
      <c r="B44" s="196" t="s">
        <v>66</v>
      </c>
      <c r="C44" s="203"/>
      <c r="D44" s="71">
        <f>IF(D48="","",D43/D48)</f>
        <v>9.1067339903470532E-2</v>
      </c>
      <c r="E44" s="72" t="s">
        <v>67</v>
      </c>
      <c r="F44" s="75">
        <f>+IF(D48="","",IF(V35&lt;0.00000012,14.7%,V34*2/3))</f>
        <v>0.1206062878836071</v>
      </c>
      <c r="G44" s="74" t="str">
        <f>IF(F44="","",IF(D44="","",IF(D44&lt;F44,"YES","NO")))</f>
        <v>YES</v>
      </c>
      <c r="H44" s="98" t="str">
        <f>+IF(G44="","",IF(G44="YES","→  CCα_max= ",""))</f>
        <v xml:space="preserve">→  CCα_max= </v>
      </c>
      <c r="I44" s="31"/>
      <c r="J44" s="99">
        <f>+IF(G44="","",IF(G44="NO","",IF(G44="YES",IF(AND(C11="ug/kg",C10&lt;120),C10+1.64*0.22*C10,IF(OR(C10&gt;=120,C11="mg/kg"),C10+1.64*C10*V34,"")))))</f>
        <v>1037.3531745549387</v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22" x14ac:dyDescent="0.2">
      <c r="A45" s="31"/>
      <c r="B45" s="196" t="s">
        <v>68</v>
      </c>
      <c r="C45" s="203"/>
      <c r="D45" s="96">
        <f>IF(D44="","",D48-AD22)</f>
        <v>356.34222501550249</v>
      </c>
      <c r="E45" s="72"/>
      <c r="F45" s="73"/>
      <c r="G45" s="7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22" x14ac:dyDescent="0.2">
      <c r="A46" s="31"/>
      <c r="B46" s="198" t="s">
        <v>70</v>
      </c>
      <c r="C46" s="199"/>
      <c r="D46" s="97">
        <f>IF(D44="","",D48+AD22)</f>
        <v>528.03704571458718</v>
      </c>
      <c r="E46" s="82"/>
      <c r="F46" s="83"/>
      <c r="G46" s="34" t="str">
        <f>IF(F46="","",IF(D46="","",IF(D46&lt;F46,"JA","NEE")))</f>
        <v/>
      </c>
      <c r="H46" s="31"/>
      <c r="I46" s="31"/>
      <c r="J46" s="31"/>
      <c r="K46" s="33" t="s">
        <v>61</v>
      </c>
      <c r="L46" s="31"/>
      <c r="M46" s="31"/>
      <c r="N46" s="31"/>
      <c r="O46" s="31"/>
      <c r="P46" s="31"/>
      <c r="Q46" s="31"/>
      <c r="R46" s="31"/>
      <c r="S46" s="31"/>
    </row>
    <row r="47" spans="1:22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22" ht="15.75" x14ac:dyDescent="0.25">
      <c r="A48" s="31"/>
      <c r="B48" s="77"/>
      <c r="C48" s="88" t="str">
        <f>+"Calculated concentration ("&amp;$C$11&amp;"): "</f>
        <v xml:space="preserve">Calculated concentration (ug/kg): </v>
      </c>
      <c r="D48" s="106">
        <f>IF(G41="","",IF(G42="","",+S23/S22))</f>
        <v>442.18963536504486</v>
      </c>
      <c r="E48" s="77"/>
      <c r="F48" s="88" t="s">
        <v>71</v>
      </c>
      <c r="G48" s="194" t="str">
        <f>+IF(L34="","",IF(L34="NO","REPEAT",IF(D48="","COMPLIANT",IF(G41="NO","COMPLIANT",IF(AND(G44="NO",D48&lt;C10),"COMPLIANT",IF(AND(G44="NO",D48&gt;C10),"CHECK EGL",IF(G42="NO","COMPLIANT",IF(D48&gt;J44,"NON COMPLIANT","COMPLIANT"))))))))</f>
        <v>COMPLIANT</v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2">
      <c r="A49" s="31"/>
      <c r="B49" s="202"/>
      <c r="C49" s="202"/>
      <c r="D49" s="86"/>
      <c r="E49" s="202"/>
      <c r="F49" s="202"/>
      <c r="G49" s="77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 t="s">
        <v>76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>
        <v>0.22</v>
      </c>
    </row>
    <row r="56" spans="1:19" x14ac:dyDescent="0.2">
      <c r="E56" s="3">
        <f>10+1.64*(10*E55)</f>
        <v>13.608000000000001</v>
      </c>
    </row>
  </sheetData>
  <sheetProtection sheet="1" objects="1" scenarios="1" autoFilter="0"/>
  <mergeCells count="27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B49:C49"/>
    <mergeCell ref="E49:F49"/>
    <mergeCell ref="B52:S52"/>
    <mergeCell ref="B43:C43"/>
    <mergeCell ref="B44:C44"/>
    <mergeCell ref="B45:C45"/>
    <mergeCell ref="B46:C46"/>
    <mergeCell ref="B47:C47"/>
    <mergeCell ref="G48:H48"/>
  </mergeCells>
  <conditionalFormatting sqref="I24:I30">
    <cfRule type="cellIs" dxfId="5" priority="1" operator="greaterThan">
      <formula>5*$D$48</formula>
    </cfRule>
    <cfRule type="cellIs" dxfId="4" priority="2" operator="lessThan">
      <formula>0.2*$D$48</formula>
    </cfRule>
  </conditionalFormatting>
  <dataValidations count="1">
    <dataValidation type="list" allowBlank="1" showInputMessage="1" showErrorMessage="1" sqref="C11" xr:uid="{200D6D32-780D-4450-8923-77D863416E61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930A-8DA1-4FC3-9507-3E0FB623DBE3}">
  <dimension ref="A1:B9"/>
  <sheetViews>
    <sheetView workbookViewId="0"/>
  </sheetViews>
  <sheetFormatPr defaultRowHeight="15" x14ac:dyDescent="0.25"/>
  <sheetData>
    <row r="1" spans="1:2" x14ac:dyDescent="0.25">
      <c r="A1" t="s">
        <v>77</v>
      </c>
      <c r="B1">
        <f>COUNTA(A:A)</f>
        <v>9</v>
      </c>
    </row>
    <row r="2" spans="1:2" x14ac:dyDescent="0.25">
      <c r="A2" t="s">
        <v>78</v>
      </c>
    </row>
    <row r="3" spans="1:2" x14ac:dyDescent="0.25">
      <c r="A3" t="s">
        <v>79</v>
      </c>
    </row>
    <row r="4" spans="1:2" x14ac:dyDescent="0.25">
      <c r="A4" t="s">
        <v>80</v>
      </c>
    </row>
    <row r="5" spans="1:2" x14ac:dyDescent="0.25">
      <c r="A5" t="s">
        <v>81</v>
      </c>
    </row>
    <row r="6" spans="1:2" x14ac:dyDescent="0.25">
      <c r="A6" t="s">
        <v>82</v>
      </c>
    </row>
    <row r="7" spans="1:2" x14ac:dyDescent="0.25">
      <c r="A7" t="s">
        <v>83</v>
      </c>
    </row>
    <row r="8" spans="1:2" x14ac:dyDescent="0.25">
      <c r="A8" t="s">
        <v>84</v>
      </c>
    </row>
    <row r="9" spans="1:2" x14ac:dyDescent="0.25">
      <c r="A9" t="s">
        <v>85</v>
      </c>
    </row>
  </sheetData>
  <sheetProtection sheet="1" objects="1" scenarios="1" autoFilter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FB25-5705-4615-BEF3-5F211D0948E2}">
  <sheetPr>
    <pageSetUpPr fitToPage="1"/>
  </sheetPr>
  <dimension ref="A1:AD56"/>
  <sheetViews>
    <sheetView topLeftCell="A13" zoomScale="70" zoomScaleNormal="70" zoomScaleSheetLayoutView="70" zoomScalePageLayoutView="40" workbookViewId="0">
      <selection activeCell="B1" sqref="B1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18.85546875" style="3" customWidth="1"/>
    <col min="22" max="22" width="21.28515625" style="3" customWidth="1"/>
    <col min="23" max="23" width="17.5703125" style="3" customWidth="1"/>
    <col min="24" max="24" width="16.28515625" style="3" bestFit="1" customWidth="1"/>
    <col min="25" max="27" width="9.140625" style="3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 t="s">
        <v>0</v>
      </c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</v>
      </c>
      <c r="C3" s="1"/>
      <c r="D3" s="1"/>
      <c r="F3" s="1"/>
      <c r="G3" s="1"/>
      <c r="H3" s="1"/>
      <c r="I3" s="1"/>
      <c r="J3" s="1"/>
      <c r="K3" s="1"/>
      <c r="U3" s="3" t="s">
        <v>2</v>
      </c>
    </row>
    <row r="4" spans="1:21" x14ac:dyDescent="0.2">
      <c r="A4" s="1"/>
      <c r="E4" s="1"/>
      <c r="F4" s="1"/>
      <c r="G4" s="1"/>
      <c r="H4" s="1"/>
      <c r="I4" s="1"/>
      <c r="J4" s="1"/>
      <c r="K4" s="1"/>
      <c r="U4" s="3" t="s">
        <v>3</v>
      </c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>
        <v>44655</v>
      </c>
      <c r="D6" s="1"/>
      <c r="E6" s="1"/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 t="s">
        <v>6</v>
      </c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>
        <v>3125</v>
      </c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 t="s">
        <v>86</v>
      </c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10</v>
      </c>
      <c r="C10" s="9">
        <v>3000</v>
      </c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 t="s">
        <v>86</v>
      </c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15</v>
      </c>
      <c r="C18" s="175">
        <v>658830</v>
      </c>
      <c r="D18" s="176"/>
      <c r="E18" s="1"/>
      <c r="G18" s="1"/>
      <c r="H18" s="1"/>
      <c r="I18" s="1" t="s">
        <v>16</v>
      </c>
      <c r="L18" s="1"/>
      <c r="M18" s="1"/>
      <c r="N18" s="1"/>
      <c r="O18" s="1"/>
    </row>
    <row r="19" spans="1:30" ht="21" x14ac:dyDescent="0.35">
      <c r="A19" s="1"/>
      <c r="I19" s="95" t="s">
        <v>17</v>
      </c>
    </row>
    <row r="20" spans="1:30" ht="15.75" x14ac:dyDescent="0.25">
      <c r="B20" s="41" t="s">
        <v>18</v>
      </c>
      <c r="C20" s="177" t="s">
        <v>19</v>
      </c>
      <c r="D20" s="179" t="s">
        <v>20</v>
      </c>
      <c r="E20" s="179" t="s">
        <v>21</v>
      </c>
      <c r="F20" s="177" t="s">
        <v>22</v>
      </c>
      <c r="G20" s="181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42" t="s">
        <v>29</v>
      </c>
      <c r="P20" s="43"/>
      <c r="R20" s="7"/>
      <c r="S20" s="11" t="s">
        <v>30</v>
      </c>
    </row>
    <row r="21" spans="1:30" x14ac:dyDescent="0.2">
      <c r="B21" s="44" t="str">
        <f>+"("&amp;$C$11&amp;")"</f>
        <v>(ug/kg)</v>
      </c>
      <c r="C21" s="178"/>
      <c r="D21" s="180"/>
      <c r="E21" s="180"/>
      <c r="F21" s="178"/>
      <c r="G21" s="182"/>
      <c r="I21" s="23" t="str">
        <f>+"("&amp;$C$11&amp;")"</f>
        <v>(ug/kg)</v>
      </c>
      <c r="J21" s="178"/>
      <c r="K21" s="45" t="s">
        <v>31</v>
      </c>
      <c r="L21" s="178"/>
      <c r="M21" s="184"/>
      <c r="N21" s="46" t="s">
        <v>31</v>
      </c>
      <c r="O21" s="45" t="s">
        <v>32</v>
      </c>
      <c r="P21" s="47" t="s">
        <v>33</v>
      </c>
      <c r="R21" s="7"/>
      <c r="S21" s="47"/>
      <c r="U21" s="48" t="s">
        <v>34</v>
      </c>
      <c r="V21" s="48" t="s">
        <v>35</v>
      </c>
      <c r="W21" s="3" t="s">
        <v>36</v>
      </c>
      <c r="X21" s="3" t="s">
        <v>37</v>
      </c>
      <c r="Y21" s="3" t="s">
        <v>38</v>
      </c>
      <c r="Z21" s="3" t="s">
        <v>39</v>
      </c>
      <c r="AA21" s="3" t="s">
        <v>40</v>
      </c>
      <c r="AB21" s="3" t="s">
        <v>41</v>
      </c>
      <c r="AC21" s="3" t="s">
        <v>42</v>
      </c>
      <c r="AD21" s="3" t="s">
        <v>43</v>
      </c>
    </row>
    <row r="22" spans="1:30" x14ac:dyDescent="0.2">
      <c r="B22" s="49">
        <v>0</v>
      </c>
      <c r="C22" s="14">
        <v>4.1500000000000004</v>
      </c>
      <c r="D22" s="50">
        <v>34090000</v>
      </c>
      <c r="E22" s="15">
        <v>25670000</v>
      </c>
      <c r="F22" s="14">
        <v>4.1399999999999997</v>
      </c>
      <c r="G22" s="16">
        <v>19980000</v>
      </c>
      <c r="I22" s="49">
        <f>+B22</f>
        <v>0</v>
      </c>
      <c r="J22" s="51">
        <f t="shared" ref="J22:J30" si="0">+IF(B22="","",(IF(F22="","",(C22/F22))))</f>
        <v>1.0024154589371983</v>
      </c>
      <c r="K22" s="52">
        <f t="shared" ref="K22:K30" si="1">+IF(J22="","",((((J22-(AVERAGE(J$24:J$30)))/(AVERAGE(J$24:J$30))))))</f>
        <v>-1.0536015576162437E-5</v>
      </c>
      <c r="L22" s="12">
        <f t="shared" ref="L22:L23" si="2">+IF(B22="","",(IF(G22="","",IF(I22="","",((D22)/(G22))))))</f>
        <v>1.7062062062062062</v>
      </c>
      <c r="M22" s="13">
        <f>IF(I22="","",IF(OR(B22="",E22="",G22=""),"",E22/D22))</f>
        <v>0.75300674684658253</v>
      </c>
      <c r="N22" s="53">
        <f t="shared" ref="N22:N30" si="3">+IF(M22="","",((((M22-(AVERAGE(M$24:M$30))))/(AVERAGE(M$24:M$30)))))</f>
        <v>-1.8787046017515793E-2</v>
      </c>
      <c r="O22" s="54"/>
      <c r="P22" s="11"/>
      <c r="R22" s="19" t="s">
        <v>44</v>
      </c>
      <c r="S22" s="20">
        <f>IF(COUNT(L22:L30)&gt;0,SLOPE(L22:L30,I22:I30),"")</f>
        <v>1.5859335067044621E-3</v>
      </c>
      <c r="U22" s="48">
        <f t="shared" ref="U22:U30" si="4">IF(N22="","",(ABS(N22)))</f>
        <v>1.8787046017515793E-2</v>
      </c>
      <c r="V22" s="48">
        <f t="shared" ref="V22:V30" si="5">IF(K22="","",(ABS(K22)))</f>
        <v>1.0536015576162437E-5</v>
      </c>
      <c r="W22" s="3">
        <f>IF(I22="","",+$S$22*I22+$S$23)</f>
        <v>1.7944858338078835</v>
      </c>
      <c r="X22" s="3">
        <f>IF(I22="","",(L22-W22)^2)</f>
        <v>7.7932926494908234E-3</v>
      </c>
      <c r="Y22" s="3">
        <f>IF(I22="","",(I22-AVERAGE($I$22:$I$30))^2)</f>
        <v>1102500</v>
      </c>
      <c r="Z22" s="92">
        <f>+AVERAGE(L22:L30)</f>
        <v>3.4597160158475688</v>
      </c>
      <c r="AA22" s="3">
        <f>+SQRT(X32/(COUNT(I22:I30)-2))</f>
        <v>0.18092606093139579</v>
      </c>
      <c r="AB22" s="91">
        <f>(AA22/S22)*SQRT(1/(COUNT(I22:I30))+((Z22^2)/(S22^2*Y32)))</f>
        <v>111.50803744652234</v>
      </c>
      <c r="AC22" s="3">
        <f>+_xlfn.T.INV(0.95,(COUNT(I22:I30)-2))</f>
        <v>2.3533634348018233</v>
      </c>
      <c r="AD22" s="3">
        <f>+AC22*AB22</f>
        <v>262.41893801315814</v>
      </c>
    </row>
    <row r="23" spans="1:30" x14ac:dyDescent="0.2">
      <c r="B23" s="55">
        <v>0</v>
      </c>
      <c r="C23" s="14">
        <v>4.1399999999999997</v>
      </c>
      <c r="D23" s="50">
        <v>35550000</v>
      </c>
      <c r="E23" s="15">
        <v>25070000</v>
      </c>
      <c r="F23" s="14">
        <v>4.1399999999999997</v>
      </c>
      <c r="G23" s="16">
        <v>17710000</v>
      </c>
      <c r="I23" s="55">
        <f t="shared" ref="I23" si="6">+B23</f>
        <v>0</v>
      </c>
      <c r="J23" s="56">
        <f t="shared" si="0"/>
        <v>1</v>
      </c>
      <c r="K23" s="52">
        <f t="shared" si="1"/>
        <v>-2.4201491818039212E-3</v>
      </c>
      <c r="L23" s="17">
        <f t="shared" si="2"/>
        <v>2.0073404856013553</v>
      </c>
      <c r="M23" s="18">
        <f t="shared" ref="M23:M30" si="7">IF(I23="","",IF(OR(B23="",E23="",G23=""),"",E23/D23))</f>
        <v>0.70520393811533055</v>
      </c>
      <c r="N23" s="53">
        <f t="shared" si="3"/>
        <v>-8.1076972847889603E-2</v>
      </c>
      <c r="O23" s="54"/>
      <c r="P23" s="57"/>
      <c r="R23" s="21" t="s">
        <v>45</v>
      </c>
      <c r="S23" s="22">
        <f>IF(S22="","",INTERCEPT(L22:L30,I22:I30))</f>
        <v>1.7944858338078835</v>
      </c>
      <c r="U23" s="48">
        <f t="shared" si="4"/>
        <v>8.1076972847889603E-2</v>
      </c>
      <c r="V23" s="48">
        <f t="shared" si="5"/>
        <v>2.4201491818039212E-3</v>
      </c>
      <c r="W23" s="3">
        <f t="shared" ref="W23:W30" si="8">IF(I23="","",+$S$22*I23+$S$23)</f>
        <v>1.7944858338078835</v>
      </c>
      <c r="X23" s="3">
        <f t="shared" ref="X23:X30" si="9">IF(I23="","",(L23-W23)^2)</f>
        <v>4.5307102790120103E-2</v>
      </c>
      <c r="Y23" s="3">
        <f t="shared" ref="Y23:Y30" si="10">IF(I23="","",(I23-AVERAGE($I$22:$I$30))^2)</f>
        <v>1102500</v>
      </c>
    </row>
    <row r="24" spans="1:30" x14ac:dyDescent="0.2">
      <c r="B24" s="89">
        <v>750</v>
      </c>
      <c r="C24" s="14">
        <v>4.1399999999999997</v>
      </c>
      <c r="D24" s="50">
        <v>51910000</v>
      </c>
      <c r="E24" s="15">
        <v>40880000</v>
      </c>
      <c r="F24" s="14">
        <v>4.13</v>
      </c>
      <c r="G24" s="16">
        <v>18670000</v>
      </c>
      <c r="I24" s="93">
        <v>750</v>
      </c>
      <c r="J24" s="56">
        <f t="shared" si="0"/>
        <v>1.0024213075060533</v>
      </c>
      <c r="K24" s="52">
        <f t="shared" si="1"/>
        <v>-4.7016011302979444E-6</v>
      </c>
      <c r="L24" s="17">
        <f>+IF(B24="","",(IF(G24="","",IF(I24="","",((D24)/(G24))))))</f>
        <v>2.7803963577932511</v>
      </c>
      <c r="M24" s="18">
        <f t="shared" si="7"/>
        <v>0.7875168560970911</v>
      </c>
      <c r="N24" s="53">
        <f t="shared" si="3"/>
        <v>2.6181696137524628E-2</v>
      </c>
      <c r="O24" s="58">
        <f t="shared" ref="O24:O30" si="11">IF(L24="","",(L24-$S$23)/$S$22)</f>
        <v>621.6594326417063</v>
      </c>
      <c r="P24" s="102">
        <f t="shared" ref="P24:P30" si="12">IF(O24="","",+O24/B24)</f>
        <v>0.82887924352227504</v>
      </c>
      <c r="R24" s="23" t="s">
        <v>46</v>
      </c>
      <c r="S24" s="24">
        <f>IF(S22="","",CORREL(L22:L30,I22:I30))</f>
        <v>0.99691560430125126</v>
      </c>
      <c r="U24" s="48">
        <f t="shared" si="4"/>
        <v>2.6181696137524628E-2</v>
      </c>
      <c r="V24" s="48">
        <f t="shared" si="5"/>
        <v>4.7016011302979444E-6</v>
      </c>
      <c r="W24" s="3">
        <f t="shared" si="8"/>
        <v>2.9839359638362302</v>
      </c>
      <c r="X24" s="3">
        <f t="shared" si="9"/>
        <v>4.1428371228131117E-2</v>
      </c>
      <c r="Y24" s="3">
        <f t="shared" si="10"/>
        <v>90000</v>
      </c>
    </row>
    <row r="25" spans="1:30" x14ac:dyDescent="0.2">
      <c r="B25" s="89">
        <v>1500</v>
      </c>
      <c r="C25" s="14">
        <v>4.1399999999999997</v>
      </c>
      <c r="D25" s="50">
        <v>74440000</v>
      </c>
      <c r="E25" s="15">
        <v>56220000</v>
      </c>
      <c r="F25" s="14">
        <v>4.13</v>
      </c>
      <c r="G25" s="16">
        <v>17600000</v>
      </c>
      <c r="I25" s="93">
        <v>1500</v>
      </c>
      <c r="J25" s="56">
        <f t="shared" si="0"/>
        <v>1.0024213075060533</v>
      </c>
      <c r="K25" s="52">
        <f t="shared" si="1"/>
        <v>-4.7016011302979444E-6</v>
      </c>
      <c r="L25" s="17">
        <f t="shared" ref="L25:L30" si="13">+IF(B25="","",(IF(G25="","",IF(I25="","",((D25)/(G25))))))</f>
        <v>4.2295454545454545</v>
      </c>
      <c r="M25" s="18">
        <f t="shared" si="7"/>
        <v>0.75523911875335836</v>
      </c>
      <c r="N25" s="53">
        <f t="shared" si="3"/>
        <v>-1.5878131532741192E-2</v>
      </c>
      <c r="O25" s="58">
        <f t="shared" si="11"/>
        <v>1535.4109175721849</v>
      </c>
      <c r="P25" s="102">
        <f t="shared" si="12"/>
        <v>1.0236072783814565</v>
      </c>
      <c r="Q25" s="7"/>
      <c r="R25" s="30"/>
      <c r="U25" s="48">
        <f t="shared" si="4"/>
        <v>1.5878131532741192E-2</v>
      </c>
      <c r="V25" s="48">
        <f t="shared" si="5"/>
        <v>4.7016011302979444E-6</v>
      </c>
      <c r="W25" s="3">
        <f t="shared" si="8"/>
        <v>4.1733860938645773</v>
      </c>
      <c r="X25" s="3">
        <f t="shared" si="9"/>
        <v>3.1538737920848601E-3</v>
      </c>
      <c r="Y25" s="3">
        <f t="shared" si="10"/>
        <v>202500</v>
      </c>
    </row>
    <row r="26" spans="1:30" x14ac:dyDescent="0.2">
      <c r="B26" s="89">
        <v>3000</v>
      </c>
      <c r="C26" s="14">
        <v>4.12</v>
      </c>
      <c r="D26" s="50">
        <v>107700000</v>
      </c>
      <c r="E26" s="15">
        <v>81800000</v>
      </c>
      <c r="F26" s="14">
        <v>4.1100000000000003</v>
      </c>
      <c r="G26" s="16">
        <v>16380000</v>
      </c>
      <c r="I26" s="93">
        <f t="shared" ref="I26" si="14">+IF(B26="","",B26)</f>
        <v>3000</v>
      </c>
      <c r="J26" s="56">
        <f t="shared" si="0"/>
        <v>1.0024330900243308</v>
      </c>
      <c r="K26" s="52">
        <f t="shared" si="1"/>
        <v>7.0524016952254085E-6</v>
      </c>
      <c r="L26" s="17">
        <f t="shared" si="13"/>
        <v>6.5750915750915748</v>
      </c>
      <c r="M26" s="18">
        <f t="shared" si="7"/>
        <v>0.75951717734447544</v>
      </c>
      <c r="N26" s="53">
        <f t="shared" si="3"/>
        <v>-1.0303564604783291E-2</v>
      </c>
      <c r="O26" s="58">
        <f t="shared" si="11"/>
        <v>3014.3796830534807</v>
      </c>
      <c r="P26" s="102">
        <f t="shared" si="12"/>
        <v>1.0047932276844935</v>
      </c>
      <c r="Q26" s="7"/>
      <c r="R26" s="30"/>
      <c r="U26" s="48">
        <f t="shared" si="4"/>
        <v>1.0303564604783291E-2</v>
      </c>
      <c r="V26" s="48">
        <f t="shared" si="5"/>
        <v>7.0524016952254085E-6</v>
      </c>
      <c r="W26" s="3">
        <f t="shared" si="8"/>
        <v>6.5522863539212697</v>
      </c>
      <c r="X26" s="3">
        <f t="shared" si="9"/>
        <v>5.2007811262653396E-4</v>
      </c>
      <c r="Y26" s="3">
        <f t="shared" si="10"/>
        <v>3802500</v>
      </c>
    </row>
    <row r="27" spans="1:30" x14ac:dyDescent="0.2">
      <c r="B27" s="89">
        <v>6000</v>
      </c>
      <c r="C27" s="14">
        <v>4.12</v>
      </c>
      <c r="D27" s="50">
        <v>185900000</v>
      </c>
      <c r="E27" s="15">
        <v>138400000</v>
      </c>
      <c r="F27" s="14">
        <v>4.1100000000000003</v>
      </c>
      <c r="G27" s="16">
        <v>14600000</v>
      </c>
      <c r="I27" s="93"/>
      <c r="J27" s="56">
        <f t="shared" si="0"/>
        <v>1.0024330900243308</v>
      </c>
      <c r="K27" s="52">
        <f t="shared" si="1"/>
        <v>7.0524016952254085E-6</v>
      </c>
      <c r="L27" s="17" t="str">
        <f t="shared" si="13"/>
        <v/>
      </c>
      <c r="M27" s="18" t="str">
        <f t="shared" si="7"/>
        <v/>
      </c>
      <c r="N27" s="53" t="str">
        <f t="shared" si="3"/>
        <v/>
      </c>
      <c r="O27" s="58" t="str">
        <f t="shared" si="11"/>
        <v/>
      </c>
      <c r="P27" s="102" t="str">
        <f t="shared" si="12"/>
        <v/>
      </c>
      <c r="Q27" s="7"/>
      <c r="R27" s="30"/>
      <c r="U27" s="48" t="str">
        <f t="shared" si="4"/>
        <v/>
      </c>
      <c r="V27" s="48">
        <f t="shared" si="5"/>
        <v>7.0524016952254085E-6</v>
      </c>
      <c r="W27" s="3" t="str">
        <f t="shared" si="8"/>
        <v/>
      </c>
      <c r="X27" s="3" t="str">
        <f t="shared" si="9"/>
        <v/>
      </c>
      <c r="Y27" s="3" t="str">
        <f t="shared" si="10"/>
        <v/>
      </c>
    </row>
    <row r="28" spans="1:30" x14ac:dyDescent="0.2">
      <c r="B28" s="89">
        <v>15000</v>
      </c>
      <c r="C28" s="14">
        <v>4.1399999999999997</v>
      </c>
      <c r="D28" s="50">
        <v>328700000</v>
      </c>
      <c r="E28" s="15">
        <v>229600000</v>
      </c>
      <c r="F28" s="14">
        <v>4.13</v>
      </c>
      <c r="G28" s="16">
        <v>11870000</v>
      </c>
      <c r="I28" s="93"/>
      <c r="J28" s="56">
        <f t="shared" si="0"/>
        <v>1.0024213075060533</v>
      </c>
      <c r="K28" s="52">
        <f t="shared" si="1"/>
        <v>-4.7016011302979444E-6</v>
      </c>
      <c r="L28" s="17" t="str">
        <f t="shared" si="13"/>
        <v/>
      </c>
      <c r="M28" s="18" t="str">
        <f t="shared" si="7"/>
        <v/>
      </c>
      <c r="N28" s="53" t="str">
        <f t="shared" si="3"/>
        <v/>
      </c>
      <c r="O28" s="58" t="str">
        <f t="shared" si="11"/>
        <v/>
      </c>
      <c r="P28" s="102" t="str">
        <f t="shared" si="12"/>
        <v/>
      </c>
      <c r="U28" s="48" t="str">
        <f t="shared" si="4"/>
        <v/>
      </c>
      <c r="V28" s="48">
        <f t="shared" si="5"/>
        <v>4.7016011302979444E-6</v>
      </c>
      <c r="W28" s="3" t="str">
        <f t="shared" si="8"/>
        <v/>
      </c>
      <c r="X28" s="3" t="str">
        <f t="shared" si="9"/>
        <v/>
      </c>
      <c r="Y28" s="3" t="str">
        <f t="shared" si="10"/>
        <v/>
      </c>
    </row>
    <row r="29" spans="1:30" x14ac:dyDescent="0.2">
      <c r="B29" s="89"/>
      <c r="C29" s="14"/>
      <c r="D29" s="50"/>
      <c r="E29" s="15"/>
      <c r="F29" s="14"/>
      <c r="G29" s="16"/>
      <c r="I29" s="93"/>
      <c r="J29" s="56" t="str">
        <f t="shared" si="0"/>
        <v/>
      </c>
      <c r="K29" s="52" t="str">
        <f t="shared" si="1"/>
        <v/>
      </c>
      <c r="L29" s="17" t="str">
        <f t="shared" si="13"/>
        <v/>
      </c>
      <c r="M29" s="18" t="str">
        <f t="shared" si="7"/>
        <v/>
      </c>
      <c r="N29" s="53" t="str">
        <f t="shared" si="3"/>
        <v/>
      </c>
      <c r="O29" s="58" t="str">
        <f t="shared" si="11"/>
        <v/>
      </c>
      <c r="P29" s="102" t="str">
        <f t="shared" si="12"/>
        <v/>
      </c>
      <c r="U29" s="48" t="str">
        <f t="shared" si="4"/>
        <v/>
      </c>
      <c r="V29" s="48" t="str">
        <f t="shared" si="5"/>
        <v/>
      </c>
      <c r="W29" s="3" t="str">
        <f t="shared" si="8"/>
        <v/>
      </c>
      <c r="X29" s="3" t="str">
        <f t="shared" si="9"/>
        <v/>
      </c>
      <c r="Y29" s="3" t="str">
        <f t="shared" si="10"/>
        <v/>
      </c>
    </row>
    <row r="30" spans="1:30" x14ac:dyDescent="0.2">
      <c r="B30" s="90"/>
      <c r="C30" s="25"/>
      <c r="D30" s="59"/>
      <c r="E30" s="26"/>
      <c r="F30" s="25"/>
      <c r="G30" s="27"/>
      <c r="I30" s="94"/>
      <c r="J30" s="60" t="str">
        <f t="shared" si="0"/>
        <v/>
      </c>
      <c r="K30" s="61" t="str">
        <f t="shared" si="1"/>
        <v/>
      </c>
      <c r="L30" s="28" t="str">
        <f t="shared" si="13"/>
        <v/>
      </c>
      <c r="M30" s="29" t="str">
        <f t="shared" si="7"/>
        <v/>
      </c>
      <c r="N30" s="62" t="str">
        <f t="shared" si="3"/>
        <v/>
      </c>
      <c r="O30" s="63" t="str">
        <f t="shared" si="11"/>
        <v/>
      </c>
      <c r="P30" s="103" t="str">
        <f t="shared" si="12"/>
        <v/>
      </c>
      <c r="R30" s="64"/>
      <c r="U30" s="48" t="str">
        <f t="shared" si="4"/>
        <v/>
      </c>
      <c r="V30" s="48" t="str">
        <f t="shared" si="5"/>
        <v/>
      </c>
      <c r="W30" s="3" t="str">
        <f t="shared" si="8"/>
        <v/>
      </c>
      <c r="X30" s="3" t="str">
        <f t="shared" si="9"/>
        <v/>
      </c>
      <c r="Y30" s="3" t="str">
        <f t="shared" si="10"/>
        <v/>
      </c>
    </row>
    <row r="31" spans="1:30" x14ac:dyDescent="0.2">
      <c r="B31" s="65"/>
      <c r="C31" s="66"/>
      <c r="D31" s="67"/>
      <c r="E31" s="67"/>
      <c r="F31" s="66"/>
      <c r="G31" s="67"/>
      <c r="J31" s="30"/>
      <c r="K31" s="30"/>
      <c r="L31" s="64"/>
      <c r="M31" s="64"/>
      <c r="R31" s="64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X32" s="3">
        <f>+SUM(X22:X30)</f>
        <v>9.820271857245344E-2</v>
      </c>
      <c r="Y32" s="3">
        <f>+SUM(Y22:Y30)</f>
        <v>6300000</v>
      </c>
    </row>
    <row r="33" spans="1:22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22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 t="str">
        <f>IF(C17="","",IF(COUNTIF(G35:G37,"NO")&gt;0,"NO",IF(COUNT(N24:N30)&lt;3,"NO","YES")))</f>
        <v>YES</v>
      </c>
      <c r="M34" s="31"/>
      <c r="N34" s="31"/>
      <c r="O34" s="31"/>
      <c r="P34" s="31"/>
      <c r="Q34" s="31"/>
      <c r="R34" s="31"/>
      <c r="S34" s="31"/>
      <c r="U34" s="3" t="s">
        <v>52</v>
      </c>
      <c r="V34" s="91">
        <f>(2^(1-(0.5*LOG(V35)))/100)</f>
        <v>0.15705222425863252</v>
      </c>
    </row>
    <row r="35" spans="1:22" x14ac:dyDescent="0.2">
      <c r="A35" s="31"/>
      <c r="B35" s="185" t="s">
        <v>53</v>
      </c>
      <c r="C35" s="186"/>
      <c r="D35" s="70">
        <f>IF(S24="","",+S24)</f>
        <v>0.99691560430125126</v>
      </c>
      <c r="E35" s="187" t="s">
        <v>54</v>
      </c>
      <c r="F35" s="186"/>
      <c r="G35" s="69" t="str">
        <f>IF(D35="","",IF(D35&lt;0.99,"NO","YES"))</f>
        <v>YES</v>
      </c>
      <c r="H35" s="31"/>
      <c r="I35" s="31"/>
      <c r="J35" s="31"/>
      <c r="K35" s="33" t="s">
        <v>55</v>
      </c>
      <c r="L35" s="35"/>
      <c r="M35" s="31"/>
      <c r="N35" s="31"/>
      <c r="O35" s="31"/>
      <c r="P35" s="31"/>
      <c r="Q35" s="31"/>
      <c r="R35" s="31"/>
      <c r="S35" s="31"/>
      <c r="U35" s="3" t="s">
        <v>56</v>
      </c>
      <c r="V35" s="100">
        <f>+IF(C11="mg/kg",D48/1000000,IF(C11="ug/kg",D48/1000000000))</f>
        <v>1.1315013058377137E-6</v>
      </c>
    </row>
    <row r="36" spans="1:22" ht="15.75" x14ac:dyDescent="0.25">
      <c r="A36" s="31"/>
      <c r="B36" s="196" t="s">
        <v>57</v>
      </c>
      <c r="C36" s="197"/>
      <c r="D36" s="71">
        <f>IF(S22="","",+MAX(U24:U30))</f>
        <v>2.6181696137524628E-2</v>
      </c>
      <c r="E36" s="72" t="s">
        <v>58</v>
      </c>
      <c r="F36" s="73">
        <f>IF(S22="","",40%)</f>
        <v>0.4</v>
      </c>
      <c r="G36" s="74" t="str">
        <f>+IF(D36="","",(IF(D36&gt;F36,"NO","YES")))</f>
        <v>YES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2" ht="15.75" x14ac:dyDescent="0.25">
      <c r="A37" s="31"/>
      <c r="B37" s="198" t="s">
        <v>59</v>
      </c>
      <c r="C37" s="199"/>
      <c r="D37" s="76">
        <f>IF(S22="","",+MAX(V24:V30))</f>
        <v>7.0524016952254085E-6</v>
      </c>
      <c r="E37" s="82" t="s">
        <v>58</v>
      </c>
      <c r="F37" s="83">
        <v>0.01</v>
      </c>
      <c r="G37" s="34" t="str">
        <f>+IF(D37="","",IF(D37&gt;1%,"NO","YES"))</f>
        <v>YES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22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22" x14ac:dyDescent="0.2">
      <c r="A39" s="31"/>
      <c r="B39" s="77"/>
      <c r="C39" s="77"/>
      <c r="D39" s="78"/>
      <c r="E39" s="72"/>
      <c r="F39" s="75"/>
      <c r="G39" s="77"/>
      <c r="H39" s="31"/>
      <c r="I39" s="31"/>
      <c r="J39" s="31"/>
      <c r="K39" s="33" t="s">
        <v>61</v>
      </c>
      <c r="L39" s="31"/>
      <c r="M39" s="31"/>
      <c r="N39" s="31"/>
      <c r="O39" s="31"/>
      <c r="P39" s="31"/>
      <c r="Q39" s="31"/>
      <c r="R39" s="31"/>
      <c r="S39" s="31"/>
    </row>
    <row r="40" spans="1:22" ht="15.75" x14ac:dyDescent="0.25">
      <c r="A40" s="31"/>
      <c r="B40" s="79" t="s">
        <v>62</v>
      </c>
      <c r="C40" s="80"/>
      <c r="D40" s="81"/>
      <c r="E40" s="82"/>
      <c r="F40" s="83"/>
      <c r="G40" s="8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2" ht="15.75" x14ac:dyDescent="0.25">
      <c r="A41" s="31"/>
      <c r="B41" s="185" t="s">
        <v>63</v>
      </c>
      <c r="C41" s="200"/>
      <c r="D41" s="84">
        <f>IF(M22="","",IF(M23="","",MAX(U22,U23)))</f>
        <v>8.1076972847889603E-2</v>
      </c>
      <c r="E41" s="85" t="s">
        <v>58</v>
      </c>
      <c r="F41" s="73">
        <f>IF(S22="","",40%)</f>
        <v>0.4</v>
      </c>
      <c r="G41" s="69" t="str">
        <f>IF(F41="","",IF(D41="","",IF(D41&lt;F41,"YES","NO")))</f>
        <v>YES</v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22" ht="15.75" x14ac:dyDescent="0.25">
      <c r="A42" s="31"/>
      <c r="B42" s="196" t="s">
        <v>64</v>
      </c>
      <c r="C42" s="202"/>
      <c r="D42" s="71">
        <f>IF(J23="","",IF(J22="","",MAX(V22,V23)))</f>
        <v>2.4201491818039212E-3</v>
      </c>
      <c r="E42" s="72" t="s">
        <v>58</v>
      </c>
      <c r="F42" s="75">
        <v>0.01</v>
      </c>
      <c r="G42" s="74" t="str">
        <f>IF(F42="","",IF(D42="","",IF(D42&lt;=F42,"YES","NO")))</f>
        <v>YES</v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22" ht="19.5" x14ac:dyDescent="0.35">
      <c r="A43" s="31"/>
      <c r="B43" s="196" t="s">
        <v>65</v>
      </c>
      <c r="C43" s="203"/>
      <c r="D43" s="104">
        <f>AB22</f>
        <v>111.50803744652234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22" ht="21" x14ac:dyDescent="0.35">
      <c r="A44" s="31"/>
      <c r="B44" s="196" t="s">
        <v>66</v>
      </c>
      <c r="C44" s="203"/>
      <c r="D44" s="71">
        <f>IF(D48="","",D43/D48)</f>
        <v>9.8548748349845422E-2</v>
      </c>
      <c r="E44" s="72" t="s">
        <v>67</v>
      </c>
      <c r="F44" s="75">
        <f>+IF(D48="","",IF(V35&lt;0.00000012,14.7%,V34*2/3))</f>
        <v>0.10470148283908835</v>
      </c>
      <c r="G44" s="74" t="str">
        <f>IF(F44="","",IF(D44="","",IF(D44&lt;F44,"YES","NO")))</f>
        <v>YES</v>
      </c>
      <c r="H44" s="98" t="str">
        <f>+IF(G44="","",IF(G44="YES","→  CCα_max= ",""))</f>
        <v xml:space="preserve">→  CCα_max= </v>
      </c>
      <c r="I44" s="31"/>
      <c r="J44" s="99">
        <f>+IF(G44="","",IF(G44="NO","",IF(G44="YES",IF(AND(C11="ug/kg",C10&lt;120),C10+1.64*0.22*C10,IF(OR(C10&gt;=120,C11="mg/kg"),C10+1.64*C10*V34,"")))))</f>
        <v>3772.6969433524719</v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22" x14ac:dyDescent="0.2">
      <c r="A45" s="31"/>
      <c r="B45" s="196" t="s">
        <v>68</v>
      </c>
      <c r="C45" s="203"/>
      <c r="D45" s="96">
        <f>IF(D44="","",D48-AD22)</f>
        <v>869.0823678245556</v>
      </c>
      <c r="E45" s="72"/>
      <c r="F45" s="73"/>
      <c r="G45" s="7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22" x14ac:dyDescent="0.2">
      <c r="A46" s="31"/>
      <c r="B46" s="198" t="s">
        <v>70</v>
      </c>
      <c r="C46" s="199"/>
      <c r="D46" s="97">
        <f>IF(D44="","",D48+AD22)</f>
        <v>1393.9202438508719</v>
      </c>
      <c r="E46" s="82"/>
      <c r="F46" s="83"/>
      <c r="G46" s="34" t="str">
        <f>IF(F46="","",IF(D46="","",IF(D46&lt;F46,"JA","NEE")))</f>
        <v/>
      </c>
      <c r="H46" s="31"/>
      <c r="I46" s="31"/>
      <c r="J46" s="31"/>
      <c r="K46" s="33" t="s">
        <v>61</v>
      </c>
      <c r="L46" s="31"/>
      <c r="M46" s="31"/>
      <c r="N46" s="31"/>
      <c r="O46" s="31"/>
      <c r="P46" s="31"/>
      <c r="Q46" s="31"/>
      <c r="R46" s="31"/>
      <c r="S46" s="31"/>
    </row>
    <row r="47" spans="1:22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22" ht="15.75" x14ac:dyDescent="0.25">
      <c r="A48" s="31"/>
      <c r="B48" s="77"/>
      <c r="C48" s="88" t="str">
        <f>+"Calculated concentration ("&amp;$C$11&amp;"): "</f>
        <v xml:space="preserve">Calculated concentration (ug/kg): </v>
      </c>
      <c r="D48" s="106">
        <f>IF(G41="","",IF(G42="","",+S23/S22))</f>
        <v>1131.5013058377137</v>
      </c>
      <c r="E48" s="77"/>
      <c r="F48" s="88" t="s">
        <v>71</v>
      </c>
      <c r="G48" s="194" t="str">
        <f>+IF(L34="","",IF(L34="NO","REPEAT",IF(D48="","COMPLIANT",IF(G41="NO","COMPLIANT",IF(AND(G44="NO",D48&lt;C10),"COMPLIANT",IF(AND(G44="NO",D48&gt;C10),"CHECK EGL",IF(G42="NO","COMPLIANT",IF(D48&gt;J44,"NON COMPLIANT","COMPLIANT"))))))))</f>
        <v>COMPLIANT</v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2">
      <c r="A49" s="31"/>
      <c r="B49" s="202"/>
      <c r="C49" s="202"/>
      <c r="D49" s="86"/>
      <c r="E49" s="202"/>
      <c r="F49" s="202"/>
      <c r="G49" s="77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 t="s">
        <v>87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>
        <v>0.22</v>
      </c>
    </row>
    <row r="56" spans="1:19" x14ac:dyDescent="0.2">
      <c r="E56" s="3">
        <f>10+1.64*(10*E55)</f>
        <v>13.608000000000001</v>
      </c>
    </row>
  </sheetData>
  <sheetProtection sheet="1" objects="1" scenarios="1" autoFilter="0"/>
  <mergeCells count="27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B49:C49"/>
    <mergeCell ref="E49:F49"/>
    <mergeCell ref="B52:S52"/>
    <mergeCell ref="B43:C43"/>
    <mergeCell ref="B44:C44"/>
    <mergeCell ref="B45:C45"/>
    <mergeCell ref="B46:C46"/>
    <mergeCell ref="B47:C47"/>
    <mergeCell ref="G48:H48"/>
  </mergeCells>
  <conditionalFormatting sqref="I24:I30">
    <cfRule type="cellIs" dxfId="3" priority="1" operator="greaterThan">
      <formula>5*$D$48</formula>
    </cfRule>
    <cfRule type="cellIs" dxfId="2" priority="2" operator="lessThan">
      <formula>0.2*$D$48</formula>
    </cfRule>
  </conditionalFormatting>
  <dataValidations count="1">
    <dataValidation type="list" allowBlank="1" showInputMessage="1" showErrorMessage="1" sqref="C11" xr:uid="{FFB68064-7DAF-4049-B9F4-C207BA812985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E72B-78C7-40E8-B9E6-7F2FEF7CB1BC}">
  <sheetPr>
    <pageSetUpPr fitToPage="1"/>
  </sheetPr>
  <dimension ref="A1:AD56"/>
  <sheetViews>
    <sheetView topLeftCell="A10" zoomScale="70" zoomScaleNormal="70" zoomScaleSheetLayoutView="70" zoomScalePageLayoutView="40" workbookViewId="0">
      <selection activeCell="B1" sqref="B1"/>
    </sheetView>
  </sheetViews>
  <sheetFormatPr defaultColWidth="9.140625" defaultRowHeight="15" x14ac:dyDescent="0.2"/>
  <cols>
    <col min="1" max="1" width="1.85546875" style="3" customWidth="1"/>
    <col min="2" max="2" width="34.140625" style="3" customWidth="1"/>
    <col min="3" max="3" width="21.140625" style="3" bestFit="1" customWidth="1"/>
    <col min="4" max="4" width="19.42578125" style="3" bestFit="1" customWidth="1"/>
    <col min="5" max="5" width="18.7109375" style="3" bestFit="1" customWidth="1"/>
    <col min="6" max="6" width="25" style="3" bestFit="1" customWidth="1"/>
    <col min="7" max="7" width="18.5703125" style="3" customWidth="1"/>
    <col min="8" max="8" width="11.7109375" style="3" customWidth="1"/>
    <col min="9" max="9" width="14.7109375" style="3" customWidth="1"/>
    <col min="10" max="10" width="13.42578125" style="3" bestFit="1" customWidth="1"/>
    <col min="11" max="11" width="34.28515625" style="3" bestFit="1" customWidth="1"/>
    <col min="12" max="12" width="15" style="3" bestFit="1" customWidth="1"/>
    <col min="13" max="13" width="19.42578125" style="3" bestFit="1" customWidth="1"/>
    <col min="14" max="14" width="13.28515625" style="3" bestFit="1" customWidth="1"/>
    <col min="15" max="15" width="19" style="3" customWidth="1"/>
    <col min="16" max="16" width="12.28515625" style="3" customWidth="1"/>
    <col min="17" max="17" width="8.28515625" style="3" customWidth="1"/>
    <col min="18" max="18" width="17.140625" style="3" customWidth="1"/>
    <col min="19" max="19" width="11.7109375" style="3" customWidth="1"/>
    <col min="20" max="20" width="16.5703125" style="3" bestFit="1" customWidth="1"/>
    <col min="21" max="21" width="18.85546875" style="3" customWidth="1"/>
    <col min="22" max="22" width="21.28515625" style="3" customWidth="1"/>
    <col min="23" max="23" width="17.5703125" style="3" customWidth="1"/>
    <col min="24" max="24" width="16.28515625" style="3" bestFit="1" customWidth="1"/>
    <col min="25" max="27" width="9.140625" style="3"/>
    <col min="28" max="28" width="12.28515625" style="3" bestFit="1" customWidth="1"/>
    <col min="29" max="257" width="9.140625" style="3"/>
    <col min="258" max="258" width="1.85546875" style="3" customWidth="1"/>
    <col min="259" max="259" width="34.5703125" style="3" customWidth="1"/>
    <col min="260" max="260" width="21.140625" style="3" bestFit="1" customWidth="1"/>
    <col min="261" max="261" width="19.42578125" style="3" bestFit="1" customWidth="1"/>
    <col min="262" max="262" width="18.7109375" style="3" bestFit="1" customWidth="1"/>
    <col min="263" max="263" width="25" style="3" bestFit="1" customWidth="1"/>
    <col min="264" max="264" width="18.5703125" style="3" customWidth="1"/>
    <col min="265" max="265" width="9.7109375" style="3" customWidth="1"/>
    <col min="266" max="266" width="13.42578125" style="3" bestFit="1" customWidth="1"/>
    <col min="267" max="267" width="34.28515625" style="3" bestFit="1" customWidth="1"/>
    <col min="268" max="268" width="15" style="3" bestFit="1" customWidth="1"/>
    <col min="269" max="269" width="19.42578125" style="3" bestFit="1" customWidth="1"/>
    <col min="270" max="270" width="13.28515625" style="3" bestFit="1" customWidth="1"/>
    <col min="271" max="271" width="16" style="3" bestFit="1" customWidth="1"/>
    <col min="272" max="272" width="9.7109375" style="3" bestFit="1" customWidth="1"/>
    <col min="273" max="273" width="8.28515625" style="3" customWidth="1"/>
    <col min="274" max="274" width="13.85546875" style="3" bestFit="1" customWidth="1"/>
    <col min="275" max="275" width="9" style="3" bestFit="1" customWidth="1"/>
    <col min="276" max="276" width="16.5703125" style="3" bestFit="1" customWidth="1"/>
    <col min="277" max="277" width="18.85546875" style="3" customWidth="1"/>
    <col min="278" max="278" width="21.28515625" style="3" customWidth="1"/>
    <col min="279" max="279" width="17.5703125" style="3" customWidth="1"/>
    <col min="280" max="280" width="16.28515625" style="3" bestFit="1" customWidth="1"/>
    <col min="281" max="513" width="9.140625" style="3"/>
    <col min="514" max="514" width="1.85546875" style="3" customWidth="1"/>
    <col min="515" max="515" width="34.5703125" style="3" customWidth="1"/>
    <col min="516" max="516" width="21.140625" style="3" bestFit="1" customWidth="1"/>
    <col min="517" max="517" width="19.42578125" style="3" bestFit="1" customWidth="1"/>
    <col min="518" max="518" width="18.7109375" style="3" bestFit="1" customWidth="1"/>
    <col min="519" max="519" width="25" style="3" bestFit="1" customWidth="1"/>
    <col min="520" max="520" width="18.5703125" style="3" customWidth="1"/>
    <col min="521" max="521" width="9.7109375" style="3" customWidth="1"/>
    <col min="522" max="522" width="13.42578125" style="3" bestFit="1" customWidth="1"/>
    <col min="523" max="523" width="34.28515625" style="3" bestFit="1" customWidth="1"/>
    <col min="524" max="524" width="15" style="3" bestFit="1" customWidth="1"/>
    <col min="525" max="525" width="19.42578125" style="3" bestFit="1" customWidth="1"/>
    <col min="526" max="526" width="13.28515625" style="3" bestFit="1" customWidth="1"/>
    <col min="527" max="527" width="16" style="3" bestFit="1" customWidth="1"/>
    <col min="528" max="528" width="9.7109375" style="3" bestFit="1" customWidth="1"/>
    <col min="529" max="529" width="8.28515625" style="3" customWidth="1"/>
    <col min="530" max="530" width="13.85546875" style="3" bestFit="1" customWidth="1"/>
    <col min="531" max="531" width="9" style="3" bestFit="1" customWidth="1"/>
    <col min="532" max="532" width="16.5703125" style="3" bestFit="1" customWidth="1"/>
    <col min="533" max="533" width="18.85546875" style="3" customWidth="1"/>
    <col min="534" max="534" width="21.28515625" style="3" customWidth="1"/>
    <col min="535" max="535" width="17.5703125" style="3" customWidth="1"/>
    <col min="536" max="536" width="16.28515625" style="3" bestFit="1" customWidth="1"/>
    <col min="537" max="769" width="9.140625" style="3"/>
    <col min="770" max="770" width="1.85546875" style="3" customWidth="1"/>
    <col min="771" max="771" width="34.5703125" style="3" customWidth="1"/>
    <col min="772" max="772" width="21.140625" style="3" bestFit="1" customWidth="1"/>
    <col min="773" max="773" width="19.42578125" style="3" bestFit="1" customWidth="1"/>
    <col min="774" max="774" width="18.7109375" style="3" bestFit="1" customWidth="1"/>
    <col min="775" max="775" width="25" style="3" bestFit="1" customWidth="1"/>
    <col min="776" max="776" width="18.5703125" style="3" customWidth="1"/>
    <col min="777" max="777" width="9.7109375" style="3" customWidth="1"/>
    <col min="778" max="778" width="13.42578125" style="3" bestFit="1" customWidth="1"/>
    <col min="779" max="779" width="34.28515625" style="3" bestFit="1" customWidth="1"/>
    <col min="780" max="780" width="15" style="3" bestFit="1" customWidth="1"/>
    <col min="781" max="781" width="19.42578125" style="3" bestFit="1" customWidth="1"/>
    <col min="782" max="782" width="13.28515625" style="3" bestFit="1" customWidth="1"/>
    <col min="783" max="783" width="16" style="3" bestFit="1" customWidth="1"/>
    <col min="784" max="784" width="9.7109375" style="3" bestFit="1" customWidth="1"/>
    <col min="785" max="785" width="8.28515625" style="3" customWidth="1"/>
    <col min="786" max="786" width="13.85546875" style="3" bestFit="1" customWidth="1"/>
    <col min="787" max="787" width="9" style="3" bestFit="1" customWidth="1"/>
    <col min="788" max="788" width="16.5703125" style="3" bestFit="1" customWidth="1"/>
    <col min="789" max="789" width="18.85546875" style="3" customWidth="1"/>
    <col min="790" max="790" width="21.28515625" style="3" customWidth="1"/>
    <col min="791" max="791" width="17.5703125" style="3" customWidth="1"/>
    <col min="792" max="792" width="16.28515625" style="3" bestFit="1" customWidth="1"/>
    <col min="793" max="1025" width="9.140625" style="3"/>
    <col min="1026" max="1026" width="1.85546875" style="3" customWidth="1"/>
    <col min="1027" max="1027" width="34.5703125" style="3" customWidth="1"/>
    <col min="1028" max="1028" width="21.140625" style="3" bestFit="1" customWidth="1"/>
    <col min="1029" max="1029" width="19.42578125" style="3" bestFit="1" customWidth="1"/>
    <col min="1030" max="1030" width="18.7109375" style="3" bestFit="1" customWidth="1"/>
    <col min="1031" max="1031" width="25" style="3" bestFit="1" customWidth="1"/>
    <col min="1032" max="1032" width="18.5703125" style="3" customWidth="1"/>
    <col min="1033" max="1033" width="9.7109375" style="3" customWidth="1"/>
    <col min="1034" max="1034" width="13.42578125" style="3" bestFit="1" customWidth="1"/>
    <col min="1035" max="1035" width="34.28515625" style="3" bestFit="1" customWidth="1"/>
    <col min="1036" max="1036" width="15" style="3" bestFit="1" customWidth="1"/>
    <col min="1037" max="1037" width="19.42578125" style="3" bestFit="1" customWidth="1"/>
    <col min="1038" max="1038" width="13.28515625" style="3" bestFit="1" customWidth="1"/>
    <col min="1039" max="1039" width="16" style="3" bestFit="1" customWidth="1"/>
    <col min="1040" max="1040" width="9.7109375" style="3" bestFit="1" customWidth="1"/>
    <col min="1041" max="1041" width="8.28515625" style="3" customWidth="1"/>
    <col min="1042" max="1042" width="13.85546875" style="3" bestFit="1" customWidth="1"/>
    <col min="1043" max="1043" width="9" style="3" bestFit="1" customWidth="1"/>
    <col min="1044" max="1044" width="16.5703125" style="3" bestFit="1" customWidth="1"/>
    <col min="1045" max="1045" width="18.85546875" style="3" customWidth="1"/>
    <col min="1046" max="1046" width="21.28515625" style="3" customWidth="1"/>
    <col min="1047" max="1047" width="17.5703125" style="3" customWidth="1"/>
    <col min="1048" max="1048" width="16.28515625" style="3" bestFit="1" customWidth="1"/>
    <col min="1049" max="1281" width="9.140625" style="3"/>
    <col min="1282" max="1282" width="1.85546875" style="3" customWidth="1"/>
    <col min="1283" max="1283" width="34.5703125" style="3" customWidth="1"/>
    <col min="1284" max="1284" width="21.140625" style="3" bestFit="1" customWidth="1"/>
    <col min="1285" max="1285" width="19.42578125" style="3" bestFit="1" customWidth="1"/>
    <col min="1286" max="1286" width="18.7109375" style="3" bestFit="1" customWidth="1"/>
    <col min="1287" max="1287" width="25" style="3" bestFit="1" customWidth="1"/>
    <col min="1288" max="1288" width="18.5703125" style="3" customWidth="1"/>
    <col min="1289" max="1289" width="9.7109375" style="3" customWidth="1"/>
    <col min="1290" max="1290" width="13.42578125" style="3" bestFit="1" customWidth="1"/>
    <col min="1291" max="1291" width="34.28515625" style="3" bestFit="1" customWidth="1"/>
    <col min="1292" max="1292" width="15" style="3" bestFit="1" customWidth="1"/>
    <col min="1293" max="1293" width="19.42578125" style="3" bestFit="1" customWidth="1"/>
    <col min="1294" max="1294" width="13.28515625" style="3" bestFit="1" customWidth="1"/>
    <col min="1295" max="1295" width="16" style="3" bestFit="1" customWidth="1"/>
    <col min="1296" max="1296" width="9.7109375" style="3" bestFit="1" customWidth="1"/>
    <col min="1297" max="1297" width="8.28515625" style="3" customWidth="1"/>
    <col min="1298" max="1298" width="13.85546875" style="3" bestFit="1" customWidth="1"/>
    <col min="1299" max="1299" width="9" style="3" bestFit="1" customWidth="1"/>
    <col min="1300" max="1300" width="16.5703125" style="3" bestFit="1" customWidth="1"/>
    <col min="1301" max="1301" width="18.85546875" style="3" customWidth="1"/>
    <col min="1302" max="1302" width="21.28515625" style="3" customWidth="1"/>
    <col min="1303" max="1303" width="17.5703125" style="3" customWidth="1"/>
    <col min="1304" max="1304" width="16.28515625" style="3" bestFit="1" customWidth="1"/>
    <col min="1305" max="1537" width="9.140625" style="3"/>
    <col min="1538" max="1538" width="1.85546875" style="3" customWidth="1"/>
    <col min="1539" max="1539" width="34.5703125" style="3" customWidth="1"/>
    <col min="1540" max="1540" width="21.140625" style="3" bestFit="1" customWidth="1"/>
    <col min="1541" max="1541" width="19.42578125" style="3" bestFit="1" customWidth="1"/>
    <col min="1542" max="1542" width="18.7109375" style="3" bestFit="1" customWidth="1"/>
    <col min="1543" max="1543" width="25" style="3" bestFit="1" customWidth="1"/>
    <col min="1544" max="1544" width="18.5703125" style="3" customWidth="1"/>
    <col min="1545" max="1545" width="9.7109375" style="3" customWidth="1"/>
    <col min="1546" max="1546" width="13.42578125" style="3" bestFit="1" customWidth="1"/>
    <col min="1547" max="1547" width="34.28515625" style="3" bestFit="1" customWidth="1"/>
    <col min="1548" max="1548" width="15" style="3" bestFit="1" customWidth="1"/>
    <col min="1549" max="1549" width="19.42578125" style="3" bestFit="1" customWidth="1"/>
    <col min="1550" max="1550" width="13.28515625" style="3" bestFit="1" customWidth="1"/>
    <col min="1551" max="1551" width="16" style="3" bestFit="1" customWidth="1"/>
    <col min="1552" max="1552" width="9.7109375" style="3" bestFit="1" customWidth="1"/>
    <col min="1553" max="1553" width="8.28515625" style="3" customWidth="1"/>
    <col min="1554" max="1554" width="13.85546875" style="3" bestFit="1" customWidth="1"/>
    <col min="1555" max="1555" width="9" style="3" bestFit="1" customWidth="1"/>
    <col min="1556" max="1556" width="16.5703125" style="3" bestFit="1" customWidth="1"/>
    <col min="1557" max="1557" width="18.85546875" style="3" customWidth="1"/>
    <col min="1558" max="1558" width="21.28515625" style="3" customWidth="1"/>
    <col min="1559" max="1559" width="17.5703125" style="3" customWidth="1"/>
    <col min="1560" max="1560" width="16.28515625" style="3" bestFit="1" customWidth="1"/>
    <col min="1561" max="1793" width="9.140625" style="3"/>
    <col min="1794" max="1794" width="1.85546875" style="3" customWidth="1"/>
    <col min="1795" max="1795" width="34.5703125" style="3" customWidth="1"/>
    <col min="1796" max="1796" width="21.140625" style="3" bestFit="1" customWidth="1"/>
    <col min="1797" max="1797" width="19.42578125" style="3" bestFit="1" customWidth="1"/>
    <col min="1798" max="1798" width="18.7109375" style="3" bestFit="1" customWidth="1"/>
    <col min="1799" max="1799" width="25" style="3" bestFit="1" customWidth="1"/>
    <col min="1800" max="1800" width="18.5703125" style="3" customWidth="1"/>
    <col min="1801" max="1801" width="9.7109375" style="3" customWidth="1"/>
    <col min="1802" max="1802" width="13.42578125" style="3" bestFit="1" customWidth="1"/>
    <col min="1803" max="1803" width="34.28515625" style="3" bestFit="1" customWidth="1"/>
    <col min="1804" max="1804" width="15" style="3" bestFit="1" customWidth="1"/>
    <col min="1805" max="1805" width="19.42578125" style="3" bestFit="1" customWidth="1"/>
    <col min="1806" max="1806" width="13.28515625" style="3" bestFit="1" customWidth="1"/>
    <col min="1807" max="1807" width="16" style="3" bestFit="1" customWidth="1"/>
    <col min="1808" max="1808" width="9.7109375" style="3" bestFit="1" customWidth="1"/>
    <col min="1809" max="1809" width="8.28515625" style="3" customWidth="1"/>
    <col min="1810" max="1810" width="13.85546875" style="3" bestFit="1" customWidth="1"/>
    <col min="1811" max="1811" width="9" style="3" bestFit="1" customWidth="1"/>
    <col min="1812" max="1812" width="16.5703125" style="3" bestFit="1" customWidth="1"/>
    <col min="1813" max="1813" width="18.85546875" style="3" customWidth="1"/>
    <col min="1814" max="1814" width="21.28515625" style="3" customWidth="1"/>
    <col min="1815" max="1815" width="17.5703125" style="3" customWidth="1"/>
    <col min="1816" max="1816" width="16.28515625" style="3" bestFit="1" customWidth="1"/>
    <col min="1817" max="2049" width="9.140625" style="3"/>
    <col min="2050" max="2050" width="1.85546875" style="3" customWidth="1"/>
    <col min="2051" max="2051" width="34.5703125" style="3" customWidth="1"/>
    <col min="2052" max="2052" width="21.140625" style="3" bestFit="1" customWidth="1"/>
    <col min="2053" max="2053" width="19.42578125" style="3" bestFit="1" customWidth="1"/>
    <col min="2054" max="2054" width="18.7109375" style="3" bestFit="1" customWidth="1"/>
    <col min="2055" max="2055" width="25" style="3" bestFit="1" customWidth="1"/>
    <col min="2056" max="2056" width="18.5703125" style="3" customWidth="1"/>
    <col min="2057" max="2057" width="9.7109375" style="3" customWidth="1"/>
    <col min="2058" max="2058" width="13.42578125" style="3" bestFit="1" customWidth="1"/>
    <col min="2059" max="2059" width="34.28515625" style="3" bestFit="1" customWidth="1"/>
    <col min="2060" max="2060" width="15" style="3" bestFit="1" customWidth="1"/>
    <col min="2061" max="2061" width="19.42578125" style="3" bestFit="1" customWidth="1"/>
    <col min="2062" max="2062" width="13.28515625" style="3" bestFit="1" customWidth="1"/>
    <col min="2063" max="2063" width="16" style="3" bestFit="1" customWidth="1"/>
    <col min="2064" max="2064" width="9.7109375" style="3" bestFit="1" customWidth="1"/>
    <col min="2065" max="2065" width="8.28515625" style="3" customWidth="1"/>
    <col min="2066" max="2066" width="13.85546875" style="3" bestFit="1" customWidth="1"/>
    <col min="2067" max="2067" width="9" style="3" bestFit="1" customWidth="1"/>
    <col min="2068" max="2068" width="16.5703125" style="3" bestFit="1" customWidth="1"/>
    <col min="2069" max="2069" width="18.85546875" style="3" customWidth="1"/>
    <col min="2070" max="2070" width="21.28515625" style="3" customWidth="1"/>
    <col min="2071" max="2071" width="17.5703125" style="3" customWidth="1"/>
    <col min="2072" max="2072" width="16.28515625" style="3" bestFit="1" customWidth="1"/>
    <col min="2073" max="2305" width="9.140625" style="3"/>
    <col min="2306" max="2306" width="1.85546875" style="3" customWidth="1"/>
    <col min="2307" max="2307" width="34.5703125" style="3" customWidth="1"/>
    <col min="2308" max="2308" width="21.140625" style="3" bestFit="1" customWidth="1"/>
    <col min="2309" max="2309" width="19.42578125" style="3" bestFit="1" customWidth="1"/>
    <col min="2310" max="2310" width="18.7109375" style="3" bestFit="1" customWidth="1"/>
    <col min="2311" max="2311" width="25" style="3" bestFit="1" customWidth="1"/>
    <col min="2312" max="2312" width="18.5703125" style="3" customWidth="1"/>
    <col min="2313" max="2313" width="9.7109375" style="3" customWidth="1"/>
    <col min="2314" max="2314" width="13.42578125" style="3" bestFit="1" customWidth="1"/>
    <col min="2315" max="2315" width="34.28515625" style="3" bestFit="1" customWidth="1"/>
    <col min="2316" max="2316" width="15" style="3" bestFit="1" customWidth="1"/>
    <col min="2317" max="2317" width="19.42578125" style="3" bestFit="1" customWidth="1"/>
    <col min="2318" max="2318" width="13.28515625" style="3" bestFit="1" customWidth="1"/>
    <col min="2319" max="2319" width="16" style="3" bestFit="1" customWidth="1"/>
    <col min="2320" max="2320" width="9.7109375" style="3" bestFit="1" customWidth="1"/>
    <col min="2321" max="2321" width="8.28515625" style="3" customWidth="1"/>
    <col min="2322" max="2322" width="13.85546875" style="3" bestFit="1" customWidth="1"/>
    <col min="2323" max="2323" width="9" style="3" bestFit="1" customWidth="1"/>
    <col min="2324" max="2324" width="16.5703125" style="3" bestFit="1" customWidth="1"/>
    <col min="2325" max="2325" width="18.85546875" style="3" customWidth="1"/>
    <col min="2326" max="2326" width="21.28515625" style="3" customWidth="1"/>
    <col min="2327" max="2327" width="17.5703125" style="3" customWidth="1"/>
    <col min="2328" max="2328" width="16.28515625" style="3" bestFit="1" customWidth="1"/>
    <col min="2329" max="2561" width="9.140625" style="3"/>
    <col min="2562" max="2562" width="1.85546875" style="3" customWidth="1"/>
    <col min="2563" max="2563" width="34.5703125" style="3" customWidth="1"/>
    <col min="2564" max="2564" width="21.140625" style="3" bestFit="1" customWidth="1"/>
    <col min="2565" max="2565" width="19.42578125" style="3" bestFit="1" customWidth="1"/>
    <col min="2566" max="2566" width="18.7109375" style="3" bestFit="1" customWidth="1"/>
    <col min="2567" max="2567" width="25" style="3" bestFit="1" customWidth="1"/>
    <col min="2568" max="2568" width="18.5703125" style="3" customWidth="1"/>
    <col min="2569" max="2569" width="9.7109375" style="3" customWidth="1"/>
    <col min="2570" max="2570" width="13.42578125" style="3" bestFit="1" customWidth="1"/>
    <col min="2571" max="2571" width="34.28515625" style="3" bestFit="1" customWidth="1"/>
    <col min="2572" max="2572" width="15" style="3" bestFit="1" customWidth="1"/>
    <col min="2573" max="2573" width="19.42578125" style="3" bestFit="1" customWidth="1"/>
    <col min="2574" max="2574" width="13.28515625" style="3" bestFit="1" customWidth="1"/>
    <col min="2575" max="2575" width="16" style="3" bestFit="1" customWidth="1"/>
    <col min="2576" max="2576" width="9.7109375" style="3" bestFit="1" customWidth="1"/>
    <col min="2577" max="2577" width="8.28515625" style="3" customWidth="1"/>
    <col min="2578" max="2578" width="13.85546875" style="3" bestFit="1" customWidth="1"/>
    <col min="2579" max="2579" width="9" style="3" bestFit="1" customWidth="1"/>
    <col min="2580" max="2580" width="16.5703125" style="3" bestFit="1" customWidth="1"/>
    <col min="2581" max="2581" width="18.85546875" style="3" customWidth="1"/>
    <col min="2582" max="2582" width="21.28515625" style="3" customWidth="1"/>
    <col min="2583" max="2583" width="17.5703125" style="3" customWidth="1"/>
    <col min="2584" max="2584" width="16.28515625" style="3" bestFit="1" customWidth="1"/>
    <col min="2585" max="2817" width="9.140625" style="3"/>
    <col min="2818" max="2818" width="1.85546875" style="3" customWidth="1"/>
    <col min="2819" max="2819" width="34.5703125" style="3" customWidth="1"/>
    <col min="2820" max="2820" width="21.140625" style="3" bestFit="1" customWidth="1"/>
    <col min="2821" max="2821" width="19.42578125" style="3" bestFit="1" customWidth="1"/>
    <col min="2822" max="2822" width="18.7109375" style="3" bestFit="1" customWidth="1"/>
    <col min="2823" max="2823" width="25" style="3" bestFit="1" customWidth="1"/>
    <col min="2824" max="2824" width="18.5703125" style="3" customWidth="1"/>
    <col min="2825" max="2825" width="9.7109375" style="3" customWidth="1"/>
    <col min="2826" max="2826" width="13.42578125" style="3" bestFit="1" customWidth="1"/>
    <col min="2827" max="2827" width="34.28515625" style="3" bestFit="1" customWidth="1"/>
    <col min="2828" max="2828" width="15" style="3" bestFit="1" customWidth="1"/>
    <col min="2829" max="2829" width="19.42578125" style="3" bestFit="1" customWidth="1"/>
    <col min="2830" max="2830" width="13.28515625" style="3" bestFit="1" customWidth="1"/>
    <col min="2831" max="2831" width="16" style="3" bestFit="1" customWidth="1"/>
    <col min="2832" max="2832" width="9.7109375" style="3" bestFit="1" customWidth="1"/>
    <col min="2833" max="2833" width="8.28515625" style="3" customWidth="1"/>
    <col min="2834" max="2834" width="13.85546875" style="3" bestFit="1" customWidth="1"/>
    <col min="2835" max="2835" width="9" style="3" bestFit="1" customWidth="1"/>
    <col min="2836" max="2836" width="16.5703125" style="3" bestFit="1" customWidth="1"/>
    <col min="2837" max="2837" width="18.85546875" style="3" customWidth="1"/>
    <col min="2838" max="2838" width="21.28515625" style="3" customWidth="1"/>
    <col min="2839" max="2839" width="17.5703125" style="3" customWidth="1"/>
    <col min="2840" max="2840" width="16.28515625" style="3" bestFit="1" customWidth="1"/>
    <col min="2841" max="3073" width="9.140625" style="3"/>
    <col min="3074" max="3074" width="1.85546875" style="3" customWidth="1"/>
    <col min="3075" max="3075" width="34.5703125" style="3" customWidth="1"/>
    <col min="3076" max="3076" width="21.140625" style="3" bestFit="1" customWidth="1"/>
    <col min="3077" max="3077" width="19.42578125" style="3" bestFit="1" customWidth="1"/>
    <col min="3078" max="3078" width="18.7109375" style="3" bestFit="1" customWidth="1"/>
    <col min="3079" max="3079" width="25" style="3" bestFit="1" customWidth="1"/>
    <col min="3080" max="3080" width="18.5703125" style="3" customWidth="1"/>
    <col min="3081" max="3081" width="9.7109375" style="3" customWidth="1"/>
    <col min="3082" max="3082" width="13.42578125" style="3" bestFit="1" customWidth="1"/>
    <col min="3083" max="3083" width="34.28515625" style="3" bestFit="1" customWidth="1"/>
    <col min="3084" max="3084" width="15" style="3" bestFit="1" customWidth="1"/>
    <col min="3085" max="3085" width="19.42578125" style="3" bestFit="1" customWidth="1"/>
    <col min="3086" max="3086" width="13.28515625" style="3" bestFit="1" customWidth="1"/>
    <col min="3087" max="3087" width="16" style="3" bestFit="1" customWidth="1"/>
    <col min="3088" max="3088" width="9.7109375" style="3" bestFit="1" customWidth="1"/>
    <col min="3089" max="3089" width="8.28515625" style="3" customWidth="1"/>
    <col min="3090" max="3090" width="13.85546875" style="3" bestFit="1" customWidth="1"/>
    <col min="3091" max="3091" width="9" style="3" bestFit="1" customWidth="1"/>
    <col min="3092" max="3092" width="16.5703125" style="3" bestFit="1" customWidth="1"/>
    <col min="3093" max="3093" width="18.85546875" style="3" customWidth="1"/>
    <col min="3094" max="3094" width="21.28515625" style="3" customWidth="1"/>
    <col min="3095" max="3095" width="17.5703125" style="3" customWidth="1"/>
    <col min="3096" max="3096" width="16.28515625" style="3" bestFit="1" customWidth="1"/>
    <col min="3097" max="3329" width="9.140625" style="3"/>
    <col min="3330" max="3330" width="1.85546875" style="3" customWidth="1"/>
    <col min="3331" max="3331" width="34.5703125" style="3" customWidth="1"/>
    <col min="3332" max="3332" width="21.140625" style="3" bestFit="1" customWidth="1"/>
    <col min="3333" max="3333" width="19.42578125" style="3" bestFit="1" customWidth="1"/>
    <col min="3334" max="3334" width="18.7109375" style="3" bestFit="1" customWidth="1"/>
    <col min="3335" max="3335" width="25" style="3" bestFit="1" customWidth="1"/>
    <col min="3336" max="3336" width="18.5703125" style="3" customWidth="1"/>
    <col min="3337" max="3337" width="9.7109375" style="3" customWidth="1"/>
    <col min="3338" max="3338" width="13.42578125" style="3" bestFit="1" customWidth="1"/>
    <col min="3339" max="3339" width="34.28515625" style="3" bestFit="1" customWidth="1"/>
    <col min="3340" max="3340" width="15" style="3" bestFit="1" customWidth="1"/>
    <col min="3341" max="3341" width="19.42578125" style="3" bestFit="1" customWidth="1"/>
    <col min="3342" max="3342" width="13.28515625" style="3" bestFit="1" customWidth="1"/>
    <col min="3343" max="3343" width="16" style="3" bestFit="1" customWidth="1"/>
    <col min="3344" max="3344" width="9.7109375" style="3" bestFit="1" customWidth="1"/>
    <col min="3345" max="3345" width="8.28515625" style="3" customWidth="1"/>
    <col min="3346" max="3346" width="13.85546875" style="3" bestFit="1" customWidth="1"/>
    <col min="3347" max="3347" width="9" style="3" bestFit="1" customWidth="1"/>
    <col min="3348" max="3348" width="16.5703125" style="3" bestFit="1" customWidth="1"/>
    <col min="3349" max="3349" width="18.85546875" style="3" customWidth="1"/>
    <col min="3350" max="3350" width="21.28515625" style="3" customWidth="1"/>
    <col min="3351" max="3351" width="17.5703125" style="3" customWidth="1"/>
    <col min="3352" max="3352" width="16.28515625" style="3" bestFit="1" customWidth="1"/>
    <col min="3353" max="3585" width="9.140625" style="3"/>
    <col min="3586" max="3586" width="1.85546875" style="3" customWidth="1"/>
    <col min="3587" max="3587" width="34.5703125" style="3" customWidth="1"/>
    <col min="3588" max="3588" width="21.140625" style="3" bestFit="1" customWidth="1"/>
    <col min="3589" max="3589" width="19.42578125" style="3" bestFit="1" customWidth="1"/>
    <col min="3590" max="3590" width="18.7109375" style="3" bestFit="1" customWidth="1"/>
    <col min="3591" max="3591" width="25" style="3" bestFit="1" customWidth="1"/>
    <col min="3592" max="3592" width="18.5703125" style="3" customWidth="1"/>
    <col min="3593" max="3593" width="9.7109375" style="3" customWidth="1"/>
    <col min="3594" max="3594" width="13.42578125" style="3" bestFit="1" customWidth="1"/>
    <col min="3595" max="3595" width="34.28515625" style="3" bestFit="1" customWidth="1"/>
    <col min="3596" max="3596" width="15" style="3" bestFit="1" customWidth="1"/>
    <col min="3597" max="3597" width="19.42578125" style="3" bestFit="1" customWidth="1"/>
    <col min="3598" max="3598" width="13.28515625" style="3" bestFit="1" customWidth="1"/>
    <col min="3599" max="3599" width="16" style="3" bestFit="1" customWidth="1"/>
    <col min="3600" max="3600" width="9.7109375" style="3" bestFit="1" customWidth="1"/>
    <col min="3601" max="3601" width="8.28515625" style="3" customWidth="1"/>
    <col min="3602" max="3602" width="13.85546875" style="3" bestFit="1" customWidth="1"/>
    <col min="3603" max="3603" width="9" style="3" bestFit="1" customWidth="1"/>
    <col min="3604" max="3604" width="16.5703125" style="3" bestFit="1" customWidth="1"/>
    <col min="3605" max="3605" width="18.85546875" style="3" customWidth="1"/>
    <col min="3606" max="3606" width="21.28515625" style="3" customWidth="1"/>
    <col min="3607" max="3607" width="17.5703125" style="3" customWidth="1"/>
    <col min="3608" max="3608" width="16.28515625" style="3" bestFit="1" customWidth="1"/>
    <col min="3609" max="3841" width="9.140625" style="3"/>
    <col min="3842" max="3842" width="1.85546875" style="3" customWidth="1"/>
    <col min="3843" max="3843" width="34.5703125" style="3" customWidth="1"/>
    <col min="3844" max="3844" width="21.140625" style="3" bestFit="1" customWidth="1"/>
    <col min="3845" max="3845" width="19.42578125" style="3" bestFit="1" customWidth="1"/>
    <col min="3846" max="3846" width="18.7109375" style="3" bestFit="1" customWidth="1"/>
    <col min="3847" max="3847" width="25" style="3" bestFit="1" customWidth="1"/>
    <col min="3848" max="3848" width="18.5703125" style="3" customWidth="1"/>
    <col min="3849" max="3849" width="9.7109375" style="3" customWidth="1"/>
    <col min="3850" max="3850" width="13.42578125" style="3" bestFit="1" customWidth="1"/>
    <col min="3851" max="3851" width="34.28515625" style="3" bestFit="1" customWidth="1"/>
    <col min="3852" max="3852" width="15" style="3" bestFit="1" customWidth="1"/>
    <col min="3853" max="3853" width="19.42578125" style="3" bestFit="1" customWidth="1"/>
    <col min="3854" max="3854" width="13.28515625" style="3" bestFit="1" customWidth="1"/>
    <col min="3855" max="3855" width="16" style="3" bestFit="1" customWidth="1"/>
    <col min="3856" max="3856" width="9.7109375" style="3" bestFit="1" customWidth="1"/>
    <col min="3857" max="3857" width="8.28515625" style="3" customWidth="1"/>
    <col min="3858" max="3858" width="13.85546875" style="3" bestFit="1" customWidth="1"/>
    <col min="3859" max="3859" width="9" style="3" bestFit="1" customWidth="1"/>
    <col min="3860" max="3860" width="16.5703125" style="3" bestFit="1" customWidth="1"/>
    <col min="3861" max="3861" width="18.85546875" style="3" customWidth="1"/>
    <col min="3862" max="3862" width="21.28515625" style="3" customWidth="1"/>
    <col min="3863" max="3863" width="17.5703125" style="3" customWidth="1"/>
    <col min="3864" max="3864" width="16.28515625" style="3" bestFit="1" customWidth="1"/>
    <col min="3865" max="4097" width="9.140625" style="3"/>
    <col min="4098" max="4098" width="1.85546875" style="3" customWidth="1"/>
    <col min="4099" max="4099" width="34.5703125" style="3" customWidth="1"/>
    <col min="4100" max="4100" width="21.140625" style="3" bestFit="1" customWidth="1"/>
    <col min="4101" max="4101" width="19.42578125" style="3" bestFit="1" customWidth="1"/>
    <col min="4102" max="4102" width="18.7109375" style="3" bestFit="1" customWidth="1"/>
    <col min="4103" max="4103" width="25" style="3" bestFit="1" customWidth="1"/>
    <col min="4104" max="4104" width="18.5703125" style="3" customWidth="1"/>
    <col min="4105" max="4105" width="9.7109375" style="3" customWidth="1"/>
    <col min="4106" max="4106" width="13.42578125" style="3" bestFit="1" customWidth="1"/>
    <col min="4107" max="4107" width="34.28515625" style="3" bestFit="1" customWidth="1"/>
    <col min="4108" max="4108" width="15" style="3" bestFit="1" customWidth="1"/>
    <col min="4109" max="4109" width="19.42578125" style="3" bestFit="1" customWidth="1"/>
    <col min="4110" max="4110" width="13.28515625" style="3" bestFit="1" customWidth="1"/>
    <col min="4111" max="4111" width="16" style="3" bestFit="1" customWidth="1"/>
    <col min="4112" max="4112" width="9.7109375" style="3" bestFit="1" customWidth="1"/>
    <col min="4113" max="4113" width="8.28515625" style="3" customWidth="1"/>
    <col min="4114" max="4114" width="13.85546875" style="3" bestFit="1" customWidth="1"/>
    <col min="4115" max="4115" width="9" style="3" bestFit="1" customWidth="1"/>
    <col min="4116" max="4116" width="16.5703125" style="3" bestFit="1" customWidth="1"/>
    <col min="4117" max="4117" width="18.85546875" style="3" customWidth="1"/>
    <col min="4118" max="4118" width="21.28515625" style="3" customWidth="1"/>
    <col min="4119" max="4119" width="17.5703125" style="3" customWidth="1"/>
    <col min="4120" max="4120" width="16.28515625" style="3" bestFit="1" customWidth="1"/>
    <col min="4121" max="4353" width="9.140625" style="3"/>
    <col min="4354" max="4354" width="1.85546875" style="3" customWidth="1"/>
    <col min="4355" max="4355" width="34.5703125" style="3" customWidth="1"/>
    <col min="4356" max="4356" width="21.140625" style="3" bestFit="1" customWidth="1"/>
    <col min="4357" max="4357" width="19.42578125" style="3" bestFit="1" customWidth="1"/>
    <col min="4358" max="4358" width="18.7109375" style="3" bestFit="1" customWidth="1"/>
    <col min="4359" max="4359" width="25" style="3" bestFit="1" customWidth="1"/>
    <col min="4360" max="4360" width="18.5703125" style="3" customWidth="1"/>
    <col min="4361" max="4361" width="9.7109375" style="3" customWidth="1"/>
    <col min="4362" max="4362" width="13.42578125" style="3" bestFit="1" customWidth="1"/>
    <col min="4363" max="4363" width="34.28515625" style="3" bestFit="1" customWidth="1"/>
    <col min="4364" max="4364" width="15" style="3" bestFit="1" customWidth="1"/>
    <col min="4365" max="4365" width="19.42578125" style="3" bestFit="1" customWidth="1"/>
    <col min="4366" max="4366" width="13.28515625" style="3" bestFit="1" customWidth="1"/>
    <col min="4367" max="4367" width="16" style="3" bestFit="1" customWidth="1"/>
    <col min="4368" max="4368" width="9.7109375" style="3" bestFit="1" customWidth="1"/>
    <col min="4369" max="4369" width="8.28515625" style="3" customWidth="1"/>
    <col min="4370" max="4370" width="13.85546875" style="3" bestFit="1" customWidth="1"/>
    <col min="4371" max="4371" width="9" style="3" bestFit="1" customWidth="1"/>
    <col min="4372" max="4372" width="16.5703125" style="3" bestFit="1" customWidth="1"/>
    <col min="4373" max="4373" width="18.85546875" style="3" customWidth="1"/>
    <col min="4374" max="4374" width="21.28515625" style="3" customWidth="1"/>
    <col min="4375" max="4375" width="17.5703125" style="3" customWidth="1"/>
    <col min="4376" max="4376" width="16.28515625" style="3" bestFit="1" customWidth="1"/>
    <col min="4377" max="4609" width="9.140625" style="3"/>
    <col min="4610" max="4610" width="1.85546875" style="3" customWidth="1"/>
    <col min="4611" max="4611" width="34.5703125" style="3" customWidth="1"/>
    <col min="4612" max="4612" width="21.140625" style="3" bestFit="1" customWidth="1"/>
    <col min="4613" max="4613" width="19.42578125" style="3" bestFit="1" customWidth="1"/>
    <col min="4614" max="4614" width="18.7109375" style="3" bestFit="1" customWidth="1"/>
    <col min="4615" max="4615" width="25" style="3" bestFit="1" customWidth="1"/>
    <col min="4616" max="4616" width="18.5703125" style="3" customWidth="1"/>
    <col min="4617" max="4617" width="9.7109375" style="3" customWidth="1"/>
    <col min="4618" max="4618" width="13.42578125" style="3" bestFit="1" customWidth="1"/>
    <col min="4619" max="4619" width="34.28515625" style="3" bestFit="1" customWidth="1"/>
    <col min="4620" max="4620" width="15" style="3" bestFit="1" customWidth="1"/>
    <col min="4621" max="4621" width="19.42578125" style="3" bestFit="1" customWidth="1"/>
    <col min="4622" max="4622" width="13.28515625" style="3" bestFit="1" customWidth="1"/>
    <col min="4623" max="4623" width="16" style="3" bestFit="1" customWidth="1"/>
    <col min="4624" max="4624" width="9.7109375" style="3" bestFit="1" customWidth="1"/>
    <col min="4625" max="4625" width="8.28515625" style="3" customWidth="1"/>
    <col min="4626" max="4626" width="13.85546875" style="3" bestFit="1" customWidth="1"/>
    <col min="4627" max="4627" width="9" style="3" bestFit="1" customWidth="1"/>
    <col min="4628" max="4628" width="16.5703125" style="3" bestFit="1" customWidth="1"/>
    <col min="4629" max="4629" width="18.85546875" style="3" customWidth="1"/>
    <col min="4630" max="4630" width="21.28515625" style="3" customWidth="1"/>
    <col min="4631" max="4631" width="17.5703125" style="3" customWidth="1"/>
    <col min="4632" max="4632" width="16.28515625" style="3" bestFit="1" customWidth="1"/>
    <col min="4633" max="4865" width="9.140625" style="3"/>
    <col min="4866" max="4866" width="1.85546875" style="3" customWidth="1"/>
    <col min="4867" max="4867" width="34.5703125" style="3" customWidth="1"/>
    <col min="4868" max="4868" width="21.140625" style="3" bestFit="1" customWidth="1"/>
    <col min="4869" max="4869" width="19.42578125" style="3" bestFit="1" customWidth="1"/>
    <col min="4870" max="4870" width="18.7109375" style="3" bestFit="1" customWidth="1"/>
    <col min="4871" max="4871" width="25" style="3" bestFit="1" customWidth="1"/>
    <col min="4872" max="4872" width="18.5703125" style="3" customWidth="1"/>
    <col min="4873" max="4873" width="9.7109375" style="3" customWidth="1"/>
    <col min="4874" max="4874" width="13.42578125" style="3" bestFit="1" customWidth="1"/>
    <col min="4875" max="4875" width="34.28515625" style="3" bestFit="1" customWidth="1"/>
    <col min="4876" max="4876" width="15" style="3" bestFit="1" customWidth="1"/>
    <col min="4877" max="4877" width="19.42578125" style="3" bestFit="1" customWidth="1"/>
    <col min="4878" max="4878" width="13.28515625" style="3" bestFit="1" customWidth="1"/>
    <col min="4879" max="4879" width="16" style="3" bestFit="1" customWidth="1"/>
    <col min="4880" max="4880" width="9.7109375" style="3" bestFit="1" customWidth="1"/>
    <col min="4881" max="4881" width="8.28515625" style="3" customWidth="1"/>
    <col min="4882" max="4882" width="13.85546875" style="3" bestFit="1" customWidth="1"/>
    <col min="4883" max="4883" width="9" style="3" bestFit="1" customWidth="1"/>
    <col min="4884" max="4884" width="16.5703125" style="3" bestFit="1" customWidth="1"/>
    <col min="4885" max="4885" width="18.85546875" style="3" customWidth="1"/>
    <col min="4886" max="4886" width="21.28515625" style="3" customWidth="1"/>
    <col min="4887" max="4887" width="17.5703125" style="3" customWidth="1"/>
    <col min="4888" max="4888" width="16.28515625" style="3" bestFit="1" customWidth="1"/>
    <col min="4889" max="5121" width="9.140625" style="3"/>
    <col min="5122" max="5122" width="1.85546875" style="3" customWidth="1"/>
    <col min="5123" max="5123" width="34.5703125" style="3" customWidth="1"/>
    <col min="5124" max="5124" width="21.140625" style="3" bestFit="1" customWidth="1"/>
    <col min="5125" max="5125" width="19.42578125" style="3" bestFit="1" customWidth="1"/>
    <col min="5126" max="5126" width="18.7109375" style="3" bestFit="1" customWidth="1"/>
    <col min="5127" max="5127" width="25" style="3" bestFit="1" customWidth="1"/>
    <col min="5128" max="5128" width="18.5703125" style="3" customWidth="1"/>
    <col min="5129" max="5129" width="9.7109375" style="3" customWidth="1"/>
    <col min="5130" max="5130" width="13.42578125" style="3" bestFit="1" customWidth="1"/>
    <col min="5131" max="5131" width="34.28515625" style="3" bestFit="1" customWidth="1"/>
    <col min="5132" max="5132" width="15" style="3" bestFit="1" customWidth="1"/>
    <col min="5133" max="5133" width="19.42578125" style="3" bestFit="1" customWidth="1"/>
    <col min="5134" max="5134" width="13.28515625" style="3" bestFit="1" customWidth="1"/>
    <col min="5135" max="5135" width="16" style="3" bestFit="1" customWidth="1"/>
    <col min="5136" max="5136" width="9.7109375" style="3" bestFit="1" customWidth="1"/>
    <col min="5137" max="5137" width="8.28515625" style="3" customWidth="1"/>
    <col min="5138" max="5138" width="13.85546875" style="3" bestFit="1" customWidth="1"/>
    <col min="5139" max="5139" width="9" style="3" bestFit="1" customWidth="1"/>
    <col min="5140" max="5140" width="16.5703125" style="3" bestFit="1" customWidth="1"/>
    <col min="5141" max="5141" width="18.85546875" style="3" customWidth="1"/>
    <col min="5142" max="5142" width="21.28515625" style="3" customWidth="1"/>
    <col min="5143" max="5143" width="17.5703125" style="3" customWidth="1"/>
    <col min="5144" max="5144" width="16.28515625" style="3" bestFit="1" customWidth="1"/>
    <col min="5145" max="5377" width="9.140625" style="3"/>
    <col min="5378" max="5378" width="1.85546875" style="3" customWidth="1"/>
    <col min="5379" max="5379" width="34.5703125" style="3" customWidth="1"/>
    <col min="5380" max="5380" width="21.140625" style="3" bestFit="1" customWidth="1"/>
    <col min="5381" max="5381" width="19.42578125" style="3" bestFit="1" customWidth="1"/>
    <col min="5382" max="5382" width="18.7109375" style="3" bestFit="1" customWidth="1"/>
    <col min="5383" max="5383" width="25" style="3" bestFit="1" customWidth="1"/>
    <col min="5384" max="5384" width="18.5703125" style="3" customWidth="1"/>
    <col min="5385" max="5385" width="9.7109375" style="3" customWidth="1"/>
    <col min="5386" max="5386" width="13.42578125" style="3" bestFit="1" customWidth="1"/>
    <col min="5387" max="5387" width="34.28515625" style="3" bestFit="1" customWidth="1"/>
    <col min="5388" max="5388" width="15" style="3" bestFit="1" customWidth="1"/>
    <col min="5389" max="5389" width="19.42578125" style="3" bestFit="1" customWidth="1"/>
    <col min="5390" max="5390" width="13.28515625" style="3" bestFit="1" customWidth="1"/>
    <col min="5391" max="5391" width="16" style="3" bestFit="1" customWidth="1"/>
    <col min="5392" max="5392" width="9.7109375" style="3" bestFit="1" customWidth="1"/>
    <col min="5393" max="5393" width="8.28515625" style="3" customWidth="1"/>
    <col min="5394" max="5394" width="13.85546875" style="3" bestFit="1" customWidth="1"/>
    <col min="5395" max="5395" width="9" style="3" bestFit="1" customWidth="1"/>
    <col min="5396" max="5396" width="16.5703125" style="3" bestFit="1" customWidth="1"/>
    <col min="5397" max="5397" width="18.85546875" style="3" customWidth="1"/>
    <col min="5398" max="5398" width="21.28515625" style="3" customWidth="1"/>
    <col min="5399" max="5399" width="17.5703125" style="3" customWidth="1"/>
    <col min="5400" max="5400" width="16.28515625" style="3" bestFit="1" customWidth="1"/>
    <col min="5401" max="5633" width="9.140625" style="3"/>
    <col min="5634" max="5634" width="1.85546875" style="3" customWidth="1"/>
    <col min="5635" max="5635" width="34.5703125" style="3" customWidth="1"/>
    <col min="5636" max="5636" width="21.140625" style="3" bestFit="1" customWidth="1"/>
    <col min="5637" max="5637" width="19.42578125" style="3" bestFit="1" customWidth="1"/>
    <col min="5638" max="5638" width="18.7109375" style="3" bestFit="1" customWidth="1"/>
    <col min="5639" max="5639" width="25" style="3" bestFit="1" customWidth="1"/>
    <col min="5640" max="5640" width="18.5703125" style="3" customWidth="1"/>
    <col min="5641" max="5641" width="9.7109375" style="3" customWidth="1"/>
    <col min="5642" max="5642" width="13.42578125" style="3" bestFit="1" customWidth="1"/>
    <col min="5643" max="5643" width="34.28515625" style="3" bestFit="1" customWidth="1"/>
    <col min="5644" max="5644" width="15" style="3" bestFit="1" customWidth="1"/>
    <col min="5645" max="5645" width="19.42578125" style="3" bestFit="1" customWidth="1"/>
    <col min="5646" max="5646" width="13.28515625" style="3" bestFit="1" customWidth="1"/>
    <col min="5647" max="5647" width="16" style="3" bestFit="1" customWidth="1"/>
    <col min="5648" max="5648" width="9.7109375" style="3" bestFit="1" customWidth="1"/>
    <col min="5649" max="5649" width="8.28515625" style="3" customWidth="1"/>
    <col min="5650" max="5650" width="13.85546875" style="3" bestFit="1" customWidth="1"/>
    <col min="5651" max="5651" width="9" style="3" bestFit="1" customWidth="1"/>
    <col min="5652" max="5652" width="16.5703125" style="3" bestFit="1" customWidth="1"/>
    <col min="5653" max="5653" width="18.85546875" style="3" customWidth="1"/>
    <col min="5654" max="5654" width="21.28515625" style="3" customWidth="1"/>
    <col min="5655" max="5655" width="17.5703125" style="3" customWidth="1"/>
    <col min="5656" max="5656" width="16.28515625" style="3" bestFit="1" customWidth="1"/>
    <col min="5657" max="5889" width="9.140625" style="3"/>
    <col min="5890" max="5890" width="1.85546875" style="3" customWidth="1"/>
    <col min="5891" max="5891" width="34.5703125" style="3" customWidth="1"/>
    <col min="5892" max="5892" width="21.140625" style="3" bestFit="1" customWidth="1"/>
    <col min="5893" max="5893" width="19.42578125" style="3" bestFit="1" customWidth="1"/>
    <col min="5894" max="5894" width="18.7109375" style="3" bestFit="1" customWidth="1"/>
    <col min="5895" max="5895" width="25" style="3" bestFit="1" customWidth="1"/>
    <col min="5896" max="5896" width="18.5703125" style="3" customWidth="1"/>
    <col min="5897" max="5897" width="9.7109375" style="3" customWidth="1"/>
    <col min="5898" max="5898" width="13.42578125" style="3" bestFit="1" customWidth="1"/>
    <col min="5899" max="5899" width="34.28515625" style="3" bestFit="1" customWidth="1"/>
    <col min="5900" max="5900" width="15" style="3" bestFit="1" customWidth="1"/>
    <col min="5901" max="5901" width="19.42578125" style="3" bestFit="1" customWidth="1"/>
    <col min="5902" max="5902" width="13.28515625" style="3" bestFit="1" customWidth="1"/>
    <col min="5903" max="5903" width="16" style="3" bestFit="1" customWidth="1"/>
    <col min="5904" max="5904" width="9.7109375" style="3" bestFit="1" customWidth="1"/>
    <col min="5905" max="5905" width="8.28515625" style="3" customWidth="1"/>
    <col min="5906" max="5906" width="13.85546875" style="3" bestFit="1" customWidth="1"/>
    <col min="5907" max="5907" width="9" style="3" bestFit="1" customWidth="1"/>
    <col min="5908" max="5908" width="16.5703125" style="3" bestFit="1" customWidth="1"/>
    <col min="5909" max="5909" width="18.85546875" style="3" customWidth="1"/>
    <col min="5910" max="5910" width="21.28515625" style="3" customWidth="1"/>
    <col min="5911" max="5911" width="17.5703125" style="3" customWidth="1"/>
    <col min="5912" max="5912" width="16.28515625" style="3" bestFit="1" customWidth="1"/>
    <col min="5913" max="6145" width="9.140625" style="3"/>
    <col min="6146" max="6146" width="1.85546875" style="3" customWidth="1"/>
    <col min="6147" max="6147" width="34.5703125" style="3" customWidth="1"/>
    <col min="6148" max="6148" width="21.140625" style="3" bestFit="1" customWidth="1"/>
    <col min="6149" max="6149" width="19.42578125" style="3" bestFit="1" customWidth="1"/>
    <col min="6150" max="6150" width="18.7109375" style="3" bestFit="1" customWidth="1"/>
    <col min="6151" max="6151" width="25" style="3" bestFit="1" customWidth="1"/>
    <col min="6152" max="6152" width="18.5703125" style="3" customWidth="1"/>
    <col min="6153" max="6153" width="9.7109375" style="3" customWidth="1"/>
    <col min="6154" max="6154" width="13.42578125" style="3" bestFit="1" customWidth="1"/>
    <col min="6155" max="6155" width="34.28515625" style="3" bestFit="1" customWidth="1"/>
    <col min="6156" max="6156" width="15" style="3" bestFit="1" customWidth="1"/>
    <col min="6157" max="6157" width="19.42578125" style="3" bestFit="1" customWidth="1"/>
    <col min="6158" max="6158" width="13.28515625" style="3" bestFit="1" customWidth="1"/>
    <col min="6159" max="6159" width="16" style="3" bestFit="1" customWidth="1"/>
    <col min="6160" max="6160" width="9.7109375" style="3" bestFit="1" customWidth="1"/>
    <col min="6161" max="6161" width="8.28515625" style="3" customWidth="1"/>
    <col min="6162" max="6162" width="13.85546875" style="3" bestFit="1" customWidth="1"/>
    <col min="6163" max="6163" width="9" style="3" bestFit="1" customWidth="1"/>
    <col min="6164" max="6164" width="16.5703125" style="3" bestFit="1" customWidth="1"/>
    <col min="6165" max="6165" width="18.85546875" style="3" customWidth="1"/>
    <col min="6166" max="6166" width="21.28515625" style="3" customWidth="1"/>
    <col min="6167" max="6167" width="17.5703125" style="3" customWidth="1"/>
    <col min="6168" max="6168" width="16.28515625" style="3" bestFit="1" customWidth="1"/>
    <col min="6169" max="6401" width="9.140625" style="3"/>
    <col min="6402" max="6402" width="1.85546875" style="3" customWidth="1"/>
    <col min="6403" max="6403" width="34.5703125" style="3" customWidth="1"/>
    <col min="6404" max="6404" width="21.140625" style="3" bestFit="1" customWidth="1"/>
    <col min="6405" max="6405" width="19.42578125" style="3" bestFit="1" customWidth="1"/>
    <col min="6406" max="6406" width="18.7109375" style="3" bestFit="1" customWidth="1"/>
    <col min="6407" max="6407" width="25" style="3" bestFit="1" customWidth="1"/>
    <col min="6408" max="6408" width="18.5703125" style="3" customWidth="1"/>
    <col min="6409" max="6409" width="9.7109375" style="3" customWidth="1"/>
    <col min="6410" max="6410" width="13.42578125" style="3" bestFit="1" customWidth="1"/>
    <col min="6411" max="6411" width="34.28515625" style="3" bestFit="1" customWidth="1"/>
    <col min="6412" max="6412" width="15" style="3" bestFit="1" customWidth="1"/>
    <col min="6413" max="6413" width="19.42578125" style="3" bestFit="1" customWidth="1"/>
    <col min="6414" max="6414" width="13.28515625" style="3" bestFit="1" customWidth="1"/>
    <col min="6415" max="6415" width="16" style="3" bestFit="1" customWidth="1"/>
    <col min="6416" max="6416" width="9.7109375" style="3" bestFit="1" customWidth="1"/>
    <col min="6417" max="6417" width="8.28515625" style="3" customWidth="1"/>
    <col min="6418" max="6418" width="13.85546875" style="3" bestFit="1" customWidth="1"/>
    <col min="6419" max="6419" width="9" style="3" bestFit="1" customWidth="1"/>
    <col min="6420" max="6420" width="16.5703125" style="3" bestFit="1" customWidth="1"/>
    <col min="6421" max="6421" width="18.85546875" style="3" customWidth="1"/>
    <col min="6422" max="6422" width="21.28515625" style="3" customWidth="1"/>
    <col min="6423" max="6423" width="17.5703125" style="3" customWidth="1"/>
    <col min="6424" max="6424" width="16.28515625" style="3" bestFit="1" customWidth="1"/>
    <col min="6425" max="6657" width="9.140625" style="3"/>
    <col min="6658" max="6658" width="1.85546875" style="3" customWidth="1"/>
    <col min="6659" max="6659" width="34.5703125" style="3" customWidth="1"/>
    <col min="6660" max="6660" width="21.140625" style="3" bestFit="1" customWidth="1"/>
    <col min="6661" max="6661" width="19.42578125" style="3" bestFit="1" customWidth="1"/>
    <col min="6662" max="6662" width="18.7109375" style="3" bestFit="1" customWidth="1"/>
    <col min="6663" max="6663" width="25" style="3" bestFit="1" customWidth="1"/>
    <col min="6664" max="6664" width="18.5703125" style="3" customWidth="1"/>
    <col min="6665" max="6665" width="9.7109375" style="3" customWidth="1"/>
    <col min="6666" max="6666" width="13.42578125" style="3" bestFit="1" customWidth="1"/>
    <col min="6667" max="6667" width="34.28515625" style="3" bestFit="1" customWidth="1"/>
    <col min="6668" max="6668" width="15" style="3" bestFit="1" customWidth="1"/>
    <col min="6669" max="6669" width="19.42578125" style="3" bestFit="1" customWidth="1"/>
    <col min="6670" max="6670" width="13.28515625" style="3" bestFit="1" customWidth="1"/>
    <col min="6671" max="6671" width="16" style="3" bestFit="1" customWidth="1"/>
    <col min="6672" max="6672" width="9.7109375" style="3" bestFit="1" customWidth="1"/>
    <col min="6673" max="6673" width="8.28515625" style="3" customWidth="1"/>
    <col min="6674" max="6674" width="13.85546875" style="3" bestFit="1" customWidth="1"/>
    <col min="6675" max="6675" width="9" style="3" bestFit="1" customWidth="1"/>
    <col min="6676" max="6676" width="16.5703125" style="3" bestFit="1" customWidth="1"/>
    <col min="6677" max="6677" width="18.85546875" style="3" customWidth="1"/>
    <col min="6678" max="6678" width="21.28515625" style="3" customWidth="1"/>
    <col min="6679" max="6679" width="17.5703125" style="3" customWidth="1"/>
    <col min="6680" max="6680" width="16.28515625" style="3" bestFit="1" customWidth="1"/>
    <col min="6681" max="6913" width="9.140625" style="3"/>
    <col min="6914" max="6914" width="1.85546875" style="3" customWidth="1"/>
    <col min="6915" max="6915" width="34.5703125" style="3" customWidth="1"/>
    <col min="6916" max="6916" width="21.140625" style="3" bestFit="1" customWidth="1"/>
    <col min="6917" max="6917" width="19.42578125" style="3" bestFit="1" customWidth="1"/>
    <col min="6918" max="6918" width="18.7109375" style="3" bestFit="1" customWidth="1"/>
    <col min="6919" max="6919" width="25" style="3" bestFit="1" customWidth="1"/>
    <col min="6920" max="6920" width="18.5703125" style="3" customWidth="1"/>
    <col min="6921" max="6921" width="9.7109375" style="3" customWidth="1"/>
    <col min="6922" max="6922" width="13.42578125" style="3" bestFit="1" customWidth="1"/>
    <col min="6923" max="6923" width="34.28515625" style="3" bestFit="1" customWidth="1"/>
    <col min="6924" max="6924" width="15" style="3" bestFit="1" customWidth="1"/>
    <col min="6925" max="6925" width="19.42578125" style="3" bestFit="1" customWidth="1"/>
    <col min="6926" max="6926" width="13.28515625" style="3" bestFit="1" customWidth="1"/>
    <col min="6927" max="6927" width="16" style="3" bestFit="1" customWidth="1"/>
    <col min="6928" max="6928" width="9.7109375" style="3" bestFit="1" customWidth="1"/>
    <col min="6929" max="6929" width="8.28515625" style="3" customWidth="1"/>
    <col min="6930" max="6930" width="13.85546875" style="3" bestFit="1" customWidth="1"/>
    <col min="6931" max="6931" width="9" style="3" bestFit="1" customWidth="1"/>
    <col min="6932" max="6932" width="16.5703125" style="3" bestFit="1" customWidth="1"/>
    <col min="6933" max="6933" width="18.85546875" style="3" customWidth="1"/>
    <col min="6934" max="6934" width="21.28515625" style="3" customWidth="1"/>
    <col min="6935" max="6935" width="17.5703125" style="3" customWidth="1"/>
    <col min="6936" max="6936" width="16.28515625" style="3" bestFit="1" customWidth="1"/>
    <col min="6937" max="7169" width="9.140625" style="3"/>
    <col min="7170" max="7170" width="1.85546875" style="3" customWidth="1"/>
    <col min="7171" max="7171" width="34.5703125" style="3" customWidth="1"/>
    <col min="7172" max="7172" width="21.140625" style="3" bestFit="1" customWidth="1"/>
    <col min="7173" max="7173" width="19.42578125" style="3" bestFit="1" customWidth="1"/>
    <col min="7174" max="7174" width="18.7109375" style="3" bestFit="1" customWidth="1"/>
    <col min="7175" max="7175" width="25" style="3" bestFit="1" customWidth="1"/>
    <col min="7176" max="7176" width="18.5703125" style="3" customWidth="1"/>
    <col min="7177" max="7177" width="9.7109375" style="3" customWidth="1"/>
    <col min="7178" max="7178" width="13.42578125" style="3" bestFit="1" customWidth="1"/>
    <col min="7179" max="7179" width="34.28515625" style="3" bestFit="1" customWidth="1"/>
    <col min="7180" max="7180" width="15" style="3" bestFit="1" customWidth="1"/>
    <col min="7181" max="7181" width="19.42578125" style="3" bestFit="1" customWidth="1"/>
    <col min="7182" max="7182" width="13.28515625" style="3" bestFit="1" customWidth="1"/>
    <col min="7183" max="7183" width="16" style="3" bestFit="1" customWidth="1"/>
    <col min="7184" max="7184" width="9.7109375" style="3" bestFit="1" customWidth="1"/>
    <col min="7185" max="7185" width="8.28515625" style="3" customWidth="1"/>
    <col min="7186" max="7186" width="13.85546875" style="3" bestFit="1" customWidth="1"/>
    <col min="7187" max="7187" width="9" style="3" bestFit="1" customWidth="1"/>
    <col min="7188" max="7188" width="16.5703125" style="3" bestFit="1" customWidth="1"/>
    <col min="7189" max="7189" width="18.85546875" style="3" customWidth="1"/>
    <col min="7190" max="7190" width="21.28515625" style="3" customWidth="1"/>
    <col min="7191" max="7191" width="17.5703125" style="3" customWidth="1"/>
    <col min="7192" max="7192" width="16.28515625" style="3" bestFit="1" customWidth="1"/>
    <col min="7193" max="7425" width="9.140625" style="3"/>
    <col min="7426" max="7426" width="1.85546875" style="3" customWidth="1"/>
    <col min="7427" max="7427" width="34.5703125" style="3" customWidth="1"/>
    <col min="7428" max="7428" width="21.140625" style="3" bestFit="1" customWidth="1"/>
    <col min="7429" max="7429" width="19.42578125" style="3" bestFit="1" customWidth="1"/>
    <col min="7430" max="7430" width="18.7109375" style="3" bestFit="1" customWidth="1"/>
    <col min="7431" max="7431" width="25" style="3" bestFit="1" customWidth="1"/>
    <col min="7432" max="7432" width="18.5703125" style="3" customWidth="1"/>
    <col min="7433" max="7433" width="9.7109375" style="3" customWidth="1"/>
    <col min="7434" max="7434" width="13.42578125" style="3" bestFit="1" customWidth="1"/>
    <col min="7435" max="7435" width="34.28515625" style="3" bestFit="1" customWidth="1"/>
    <col min="7436" max="7436" width="15" style="3" bestFit="1" customWidth="1"/>
    <col min="7437" max="7437" width="19.42578125" style="3" bestFit="1" customWidth="1"/>
    <col min="7438" max="7438" width="13.28515625" style="3" bestFit="1" customWidth="1"/>
    <col min="7439" max="7439" width="16" style="3" bestFit="1" customWidth="1"/>
    <col min="7440" max="7440" width="9.7109375" style="3" bestFit="1" customWidth="1"/>
    <col min="7441" max="7441" width="8.28515625" style="3" customWidth="1"/>
    <col min="7442" max="7442" width="13.85546875" style="3" bestFit="1" customWidth="1"/>
    <col min="7443" max="7443" width="9" style="3" bestFit="1" customWidth="1"/>
    <col min="7444" max="7444" width="16.5703125" style="3" bestFit="1" customWidth="1"/>
    <col min="7445" max="7445" width="18.85546875" style="3" customWidth="1"/>
    <col min="7446" max="7446" width="21.28515625" style="3" customWidth="1"/>
    <col min="7447" max="7447" width="17.5703125" style="3" customWidth="1"/>
    <col min="7448" max="7448" width="16.28515625" style="3" bestFit="1" customWidth="1"/>
    <col min="7449" max="7681" width="9.140625" style="3"/>
    <col min="7682" max="7682" width="1.85546875" style="3" customWidth="1"/>
    <col min="7683" max="7683" width="34.5703125" style="3" customWidth="1"/>
    <col min="7684" max="7684" width="21.140625" style="3" bestFit="1" customWidth="1"/>
    <col min="7685" max="7685" width="19.42578125" style="3" bestFit="1" customWidth="1"/>
    <col min="7686" max="7686" width="18.7109375" style="3" bestFit="1" customWidth="1"/>
    <col min="7687" max="7687" width="25" style="3" bestFit="1" customWidth="1"/>
    <col min="7688" max="7688" width="18.5703125" style="3" customWidth="1"/>
    <col min="7689" max="7689" width="9.7109375" style="3" customWidth="1"/>
    <col min="7690" max="7690" width="13.42578125" style="3" bestFit="1" customWidth="1"/>
    <col min="7691" max="7691" width="34.28515625" style="3" bestFit="1" customWidth="1"/>
    <col min="7692" max="7692" width="15" style="3" bestFit="1" customWidth="1"/>
    <col min="7693" max="7693" width="19.42578125" style="3" bestFit="1" customWidth="1"/>
    <col min="7694" max="7694" width="13.28515625" style="3" bestFit="1" customWidth="1"/>
    <col min="7695" max="7695" width="16" style="3" bestFit="1" customWidth="1"/>
    <col min="7696" max="7696" width="9.7109375" style="3" bestFit="1" customWidth="1"/>
    <col min="7697" max="7697" width="8.28515625" style="3" customWidth="1"/>
    <col min="7698" max="7698" width="13.85546875" style="3" bestFit="1" customWidth="1"/>
    <col min="7699" max="7699" width="9" style="3" bestFit="1" customWidth="1"/>
    <col min="7700" max="7700" width="16.5703125" style="3" bestFit="1" customWidth="1"/>
    <col min="7701" max="7701" width="18.85546875" style="3" customWidth="1"/>
    <col min="7702" max="7702" width="21.28515625" style="3" customWidth="1"/>
    <col min="7703" max="7703" width="17.5703125" style="3" customWidth="1"/>
    <col min="7704" max="7704" width="16.28515625" style="3" bestFit="1" customWidth="1"/>
    <col min="7705" max="7937" width="9.140625" style="3"/>
    <col min="7938" max="7938" width="1.85546875" style="3" customWidth="1"/>
    <col min="7939" max="7939" width="34.5703125" style="3" customWidth="1"/>
    <col min="7940" max="7940" width="21.140625" style="3" bestFit="1" customWidth="1"/>
    <col min="7941" max="7941" width="19.42578125" style="3" bestFit="1" customWidth="1"/>
    <col min="7942" max="7942" width="18.7109375" style="3" bestFit="1" customWidth="1"/>
    <col min="7943" max="7943" width="25" style="3" bestFit="1" customWidth="1"/>
    <col min="7944" max="7944" width="18.5703125" style="3" customWidth="1"/>
    <col min="7945" max="7945" width="9.7109375" style="3" customWidth="1"/>
    <col min="7946" max="7946" width="13.42578125" style="3" bestFit="1" customWidth="1"/>
    <col min="7947" max="7947" width="34.28515625" style="3" bestFit="1" customWidth="1"/>
    <col min="7948" max="7948" width="15" style="3" bestFit="1" customWidth="1"/>
    <col min="7949" max="7949" width="19.42578125" style="3" bestFit="1" customWidth="1"/>
    <col min="7950" max="7950" width="13.28515625" style="3" bestFit="1" customWidth="1"/>
    <col min="7951" max="7951" width="16" style="3" bestFit="1" customWidth="1"/>
    <col min="7952" max="7952" width="9.7109375" style="3" bestFit="1" customWidth="1"/>
    <col min="7953" max="7953" width="8.28515625" style="3" customWidth="1"/>
    <col min="7954" max="7954" width="13.85546875" style="3" bestFit="1" customWidth="1"/>
    <col min="7955" max="7955" width="9" style="3" bestFit="1" customWidth="1"/>
    <col min="7956" max="7956" width="16.5703125" style="3" bestFit="1" customWidth="1"/>
    <col min="7957" max="7957" width="18.85546875" style="3" customWidth="1"/>
    <col min="7958" max="7958" width="21.28515625" style="3" customWidth="1"/>
    <col min="7959" max="7959" width="17.5703125" style="3" customWidth="1"/>
    <col min="7960" max="7960" width="16.28515625" style="3" bestFit="1" customWidth="1"/>
    <col min="7961" max="8193" width="9.140625" style="3"/>
    <col min="8194" max="8194" width="1.85546875" style="3" customWidth="1"/>
    <col min="8195" max="8195" width="34.5703125" style="3" customWidth="1"/>
    <col min="8196" max="8196" width="21.140625" style="3" bestFit="1" customWidth="1"/>
    <col min="8197" max="8197" width="19.42578125" style="3" bestFit="1" customWidth="1"/>
    <col min="8198" max="8198" width="18.7109375" style="3" bestFit="1" customWidth="1"/>
    <col min="8199" max="8199" width="25" style="3" bestFit="1" customWidth="1"/>
    <col min="8200" max="8200" width="18.5703125" style="3" customWidth="1"/>
    <col min="8201" max="8201" width="9.7109375" style="3" customWidth="1"/>
    <col min="8202" max="8202" width="13.42578125" style="3" bestFit="1" customWidth="1"/>
    <col min="8203" max="8203" width="34.28515625" style="3" bestFit="1" customWidth="1"/>
    <col min="8204" max="8204" width="15" style="3" bestFit="1" customWidth="1"/>
    <col min="8205" max="8205" width="19.42578125" style="3" bestFit="1" customWidth="1"/>
    <col min="8206" max="8206" width="13.28515625" style="3" bestFit="1" customWidth="1"/>
    <col min="8207" max="8207" width="16" style="3" bestFit="1" customWidth="1"/>
    <col min="8208" max="8208" width="9.7109375" style="3" bestFit="1" customWidth="1"/>
    <col min="8209" max="8209" width="8.28515625" style="3" customWidth="1"/>
    <col min="8210" max="8210" width="13.85546875" style="3" bestFit="1" customWidth="1"/>
    <col min="8211" max="8211" width="9" style="3" bestFit="1" customWidth="1"/>
    <col min="8212" max="8212" width="16.5703125" style="3" bestFit="1" customWidth="1"/>
    <col min="8213" max="8213" width="18.85546875" style="3" customWidth="1"/>
    <col min="8214" max="8214" width="21.28515625" style="3" customWidth="1"/>
    <col min="8215" max="8215" width="17.5703125" style="3" customWidth="1"/>
    <col min="8216" max="8216" width="16.28515625" style="3" bestFit="1" customWidth="1"/>
    <col min="8217" max="8449" width="9.140625" style="3"/>
    <col min="8450" max="8450" width="1.85546875" style="3" customWidth="1"/>
    <col min="8451" max="8451" width="34.5703125" style="3" customWidth="1"/>
    <col min="8452" max="8452" width="21.140625" style="3" bestFit="1" customWidth="1"/>
    <col min="8453" max="8453" width="19.42578125" style="3" bestFit="1" customWidth="1"/>
    <col min="8454" max="8454" width="18.7109375" style="3" bestFit="1" customWidth="1"/>
    <col min="8455" max="8455" width="25" style="3" bestFit="1" customWidth="1"/>
    <col min="8456" max="8456" width="18.5703125" style="3" customWidth="1"/>
    <col min="8457" max="8457" width="9.7109375" style="3" customWidth="1"/>
    <col min="8458" max="8458" width="13.42578125" style="3" bestFit="1" customWidth="1"/>
    <col min="8459" max="8459" width="34.28515625" style="3" bestFit="1" customWidth="1"/>
    <col min="8460" max="8460" width="15" style="3" bestFit="1" customWidth="1"/>
    <col min="8461" max="8461" width="19.42578125" style="3" bestFit="1" customWidth="1"/>
    <col min="8462" max="8462" width="13.28515625" style="3" bestFit="1" customWidth="1"/>
    <col min="8463" max="8463" width="16" style="3" bestFit="1" customWidth="1"/>
    <col min="8464" max="8464" width="9.7109375" style="3" bestFit="1" customWidth="1"/>
    <col min="8465" max="8465" width="8.28515625" style="3" customWidth="1"/>
    <col min="8466" max="8466" width="13.85546875" style="3" bestFit="1" customWidth="1"/>
    <col min="8467" max="8467" width="9" style="3" bestFit="1" customWidth="1"/>
    <col min="8468" max="8468" width="16.5703125" style="3" bestFit="1" customWidth="1"/>
    <col min="8469" max="8469" width="18.85546875" style="3" customWidth="1"/>
    <col min="8470" max="8470" width="21.28515625" style="3" customWidth="1"/>
    <col min="8471" max="8471" width="17.5703125" style="3" customWidth="1"/>
    <col min="8472" max="8472" width="16.28515625" style="3" bestFit="1" customWidth="1"/>
    <col min="8473" max="8705" width="9.140625" style="3"/>
    <col min="8706" max="8706" width="1.85546875" style="3" customWidth="1"/>
    <col min="8707" max="8707" width="34.5703125" style="3" customWidth="1"/>
    <col min="8708" max="8708" width="21.140625" style="3" bestFit="1" customWidth="1"/>
    <col min="8709" max="8709" width="19.42578125" style="3" bestFit="1" customWidth="1"/>
    <col min="8710" max="8710" width="18.7109375" style="3" bestFit="1" customWidth="1"/>
    <col min="8711" max="8711" width="25" style="3" bestFit="1" customWidth="1"/>
    <col min="8712" max="8712" width="18.5703125" style="3" customWidth="1"/>
    <col min="8713" max="8713" width="9.7109375" style="3" customWidth="1"/>
    <col min="8714" max="8714" width="13.42578125" style="3" bestFit="1" customWidth="1"/>
    <col min="8715" max="8715" width="34.28515625" style="3" bestFit="1" customWidth="1"/>
    <col min="8716" max="8716" width="15" style="3" bestFit="1" customWidth="1"/>
    <col min="8717" max="8717" width="19.42578125" style="3" bestFit="1" customWidth="1"/>
    <col min="8718" max="8718" width="13.28515625" style="3" bestFit="1" customWidth="1"/>
    <col min="8719" max="8719" width="16" style="3" bestFit="1" customWidth="1"/>
    <col min="8720" max="8720" width="9.7109375" style="3" bestFit="1" customWidth="1"/>
    <col min="8721" max="8721" width="8.28515625" style="3" customWidth="1"/>
    <col min="8722" max="8722" width="13.85546875" style="3" bestFit="1" customWidth="1"/>
    <col min="8723" max="8723" width="9" style="3" bestFit="1" customWidth="1"/>
    <col min="8724" max="8724" width="16.5703125" style="3" bestFit="1" customWidth="1"/>
    <col min="8725" max="8725" width="18.85546875" style="3" customWidth="1"/>
    <col min="8726" max="8726" width="21.28515625" style="3" customWidth="1"/>
    <col min="8727" max="8727" width="17.5703125" style="3" customWidth="1"/>
    <col min="8728" max="8728" width="16.28515625" style="3" bestFit="1" customWidth="1"/>
    <col min="8729" max="8961" width="9.140625" style="3"/>
    <col min="8962" max="8962" width="1.85546875" style="3" customWidth="1"/>
    <col min="8963" max="8963" width="34.5703125" style="3" customWidth="1"/>
    <col min="8964" max="8964" width="21.140625" style="3" bestFit="1" customWidth="1"/>
    <col min="8965" max="8965" width="19.42578125" style="3" bestFit="1" customWidth="1"/>
    <col min="8966" max="8966" width="18.7109375" style="3" bestFit="1" customWidth="1"/>
    <col min="8967" max="8967" width="25" style="3" bestFit="1" customWidth="1"/>
    <col min="8968" max="8968" width="18.5703125" style="3" customWidth="1"/>
    <col min="8969" max="8969" width="9.7109375" style="3" customWidth="1"/>
    <col min="8970" max="8970" width="13.42578125" style="3" bestFit="1" customWidth="1"/>
    <col min="8971" max="8971" width="34.28515625" style="3" bestFit="1" customWidth="1"/>
    <col min="8972" max="8972" width="15" style="3" bestFit="1" customWidth="1"/>
    <col min="8973" max="8973" width="19.42578125" style="3" bestFit="1" customWidth="1"/>
    <col min="8974" max="8974" width="13.28515625" style="3" bestFit="1" customWidth="1"/>
    <col min="8975" max="8975" width="16" style="3" bestFit="1" customWidth="1"/>
    <col min="8976" max="8976" width="9.7109375" style="3" bestFit="1" customWidth="1"/>
    <col min="8977" max="8977" width="8.28515625" style="3" customWidth="1"/>
    <col min="8978" max="8978" width="13.85546875" style="3" bestFit="1" customWidth="1"/>
    <col min="8979" max="8979" width="9" style="3" bestFit="1" customWidth="1"/>
    <col min="8980" max="8980" width="16.5703125" style="3" bestFit="1" customWidth="1"/>
    <col min="8981" max="8981" width="18.85546875" style="3" customWidth="1"/>
    <col min="8982" max="8982" width="21.28515625" style="3" customWidth="1"/>
    <col min="8983" max="8983" width="17.5703125" style="3" customWidth="1"/>
    <col min="8984" max="8984" width="16.28515625" style="3" bestFit="1" customWidth="1"/>
    <col min="8985" max="9217" width="9.140625" style="3"/>
    <col min="9218" max="9218" width="1.85546875" style="3" customWidth="1"/>
    <col min="9219" max="9219" width="34.5703125" style="3" customWidth="1"/>
    <col min="9220" max="9220" width="21.140625" style="3" bestFit="1" customWidth="1"/>
    <col min="9221" max="9221" width="19.42578125" style="3" bestFit="1" customWidth="1"/>
    <col min="9222" max="9222" width="18.7109375" style="3" bestFit="1" customWidth="1"/>
    <col min="9223" max="9223" width="25" style="3" bestFit="1" customWidth="1"/>
    <col min="9224" max="9224" width="18.5703125" style="3" customWidth="1"/>
    <col min="9225" max="9225" width="9.7109375" style="3" customWidth="1"/>
    <col min="9226" max="9226" width="13.42578125" style="3" bestFit="1" customWidth="1"/>
    <col min="9227" max="9227" width="34.28515625" style="3" bestFit="1" customWidth="1"/>
    <col min="9228" max="9228" width="15" style="3" bestFit="1" customWidth="1"/>
    <col min="9229" max="9229" width="19.42578125" style="3" bestFit="1" customWidth="1"/>
    <col min="9230" max="9230" width="13.28515625" style="3" bestFit="1" customWidth="1"/>
    <col min="9231" max="9231" width="16" style="3" bestFit="1" customWidth="1"/>
    <col min="9232" max="9232" width="9.7109375" style="3" bestFit="1" customWidth="1"/>
    <col min="9233" max="9233" width="8.28515625" style="3" customWidth="1"/>
    <col min="9234" max="9234" width="13.85546875" style="3" bestFit="1" customWidth="1"/>
    <col min="9235" max="9235" width="9" style="3" bestFit="1" customWidth="1"/>
    <col min="9236" max="9236" width="16.5703125" style="3" bestFit="1" customWidth="1"/>
    <col min="9237" max="9237" width="18.85546875" style="3" customWidth="1"/>
    <col min="9238" max="9238" width="21.28515625" style="3" customWidth="1"/>
    <col min="9239" max="9239" width="17.5703125" style="3" customWidth="1"/>
    <col min="9240" max="9240" width="16.28515625" style="3" bestFit="1" customWidth="1"/>
    <col min="9241" max="9473" width="9.140625" style="3"/>
    <col min="9474" max="9474" width="1.85546875" style="3" customWidth="1"/>
    <col min="9475" max="9475" width="34.5703125" style="3" customWidth="1"/>
    <col min="9476" max="9476" width="21.140625" style="3" bestFit="1" customWidth="1"/>
    <col min="9477" max="9477" width="19.42578125" style="3" bestFit="1" customWidth="1"/>
    <col min="9478" max="9478" width="18.7109375" style="3" bestFit="1" customWidth="1"/>
    <col min="9479" max="9479" width="25" style="3" bestFit="1" customWidth="1"/>
    <col min="9480" max="9480" width="18.5703125" style="3" customWidth="1"/>
    <col min="9481" max="9481" width="9.7109375" style="3" customWidth="1"/>
    <col min="9482" max="9482" width="13.42578125" style="3" bestFit="1" customWidth="1"/>
    <col min="9483" max="9483" width="34.28515625" style="3" bestFit="1" customWidth="1"/>
    <col min="9484" max="9484" width="15" style="3" bestFit="1" customWidth="1"/>
    <col min="9485" max="9485" width="19.42578125" style="3" bestFit="1" customWidth="1"/>
    <col min="9486" max="9486" width="13.28515625" style="3" bestFit="1" customWidth="1"/>
    <col min="9487" max="9487" width="16" style="3" bestFit="1" customWidth="1"/>
    <col min="9488" max="9488" width="9.7109375" style="3" bestFit="1" customWidth="1"/>
    <col min="9489" max="9489" width="8.28515625" style="3" customWidth="1"/>
    <col min="9490" max="9490" width="13.85546875" style="3" bestFit="1" customWidth="1"/>
    <col min="9491" max="9491" width="9" style="3" bestFit="1" customWidth="1"/>
    <col min="9492" max="9492" width="16.5703125" style="3" bestFit="1" customWidth="1"/>
    <col min="9493" max="9493" width="18.85546875" style="3" customWidth="1"/>
    <col min="9494" max="9494" width="21.28515625" style="3" customWidth="1"/>
    <col min="9495" max="9495" width="17.5703125" style="3" customWidth="1"/>
    <col min="9496" max="9496" width="16.28515625" style="3" bestFit="1" customWidth="1"/>
    <col min="9497" max="9729" width="9.140625" style="3"/>
    <col min="9730" max="9730" width="1.85546875" style="3" customWidth="1"/>
    <col min="9731" max="9731" width="34.5703125" style="3" customWidth="1"/>
    <col min="9732" max="9732" width="21.140625" style="3" bestFit="1" customWidth="1"/>
    <col min="9733" max="9733" width="19.42578125" style="3" bestFit="1" customWidth="1"/>
    <col min="9734" max="9734" width="18.7109375" style="3" bestFit="1" customWidth="1"/>
    <col min="9735" max="9735" width="25" style="3" bestFit="1" customWidth="1"/>
    <col min="9736" max="9736" width="18.5703125" style="3" customWidth="1"/>
    <col min="9737" max="9737" width="9.7109375" style="3" customWidth="1"/>
    <col min="9738" max="9738" width="13.42578125" style="3" bestFit="1" customWidth="1"/>
    <col min="9739" max="9739" width="34.28515625" style="3" bestFit="1" customWidth="1"/>
    <col min="9740" max="9740" width="15" style="3" bestFit="1" customWidth="1"/>
    <col min="9741" max="9741" width="19.42578125" style="3" bestFit="1" customWidth="1"/>
    <col min="9742" max="9742" width="13.28515625" style="3" bestFit="1" customWidth="1"/>
    <col min="9743" max="9743" width="16" style="3" bestFit="1" customWidth="1"/>
    <col min="9744" max="9744" width="9.7109375" style="3" bestFit="1" customWidth="1"/>
    <col min="9745" max="9745" width="8.28515625" style="3" customWidth="1"/>
    <col min="9746" max="9746" width="13.85546875" style="3" bestFit="1" customWidth="1"/>
    <col min="9747" max="9747" width="9" style="3" bestFit="1" customWidth="1"/>
    <col min="9748" max="9748" width="16.5703125" style="3" bestFit="1" customWidth="1"/>
    <col min="9749" max="9749" width="18.85546875" style="3" customWidth="1"/>
    <col min="9750" max="9750" width="21.28515625" style="3" customWidth="1"/>
    <col min="9751" max="9751" width="17.5703125" style="3" customWidth="1"/>
    <col min="9752" max="9752" width="16.28515625" style="3" bestFit="1" customWidth="1"/>
    <col min="9753" max="9985" width="9.140625" style="3"/>
    <col min="9986" max="9986" width="1.85546875" style="3" customWidth="1"/>
    <col min="9987" max="9987" width="34.5703125" style="3" customWidth="1"/>
    <col min="9988" max="9988" width="21.140625" style="3" bestFit="1" customWidth="1"/>
    <col min="9989" max="9989" width="19.42578125" style="3" bestFit="1" customWidth="1"/>
    <col min="9990" max="9990" width="18.7109375" style="3" bestFit="1" customWidth="1"/>
    <col min="9991" max="9991" width="25" style="3" bestFit="1" customWidth="1"/>
    <col min="9992" max="9992" width="18.5703125" style="3" customWidth="1"/>
    <col min="9993" max="9993" width="9.7109375" style="3" customWidth="1"/>
    <col min="9994" max="9994" width="13.42578125" style="3" bestFit="1" customWidth="1"/>
    <col min="9995" max="9995" width="34.28515625" style="3" bestFit="1" customWidth="1"/>
    <col min="9996" max="9996" width="15" style="3" bestFit="1" customWidth="1"/>
    <col min="9997" max="9997" width="19.42578125" style="3" bestFit="1" customWidth="1"/>
    <col min="9998" max="9998" width="13.28515625" style="3" bestFit="1" customWidth="1"/>
    <col min="9999" max="9999" width="16" style="3" bestFit="1" customWidth="1"/>
    <col min="10000" max="10000" width="9.7109375" style="3" bestFit="1" customWidth="1"/>
    <col min="10001" max="10001" width="8.28515625" style="3" customWidth="1"/>
    <col min="10002" max="10002" width="13.85546875" style="3" bestFit="1" customWidth="1"/>
    <col min="10003" max="10003" width="9" style="3" bestFit="1" customWidth="1"/>
    <col min="10004" max="10004" width="16.5703125" style="3" bestFit="1" customWidth="1"/>
    <col min="10005" max="10005" width="18.85546875" style="3" customWidth="1"/>
    <col min="10006" max="10006" width="21.28515625" style="3" customWidth="1"/>
    <col min="10007" max="10007" width="17.5703125" style="3" customWidth="1"/>
    <col min="10008" max="10008" width="16.28515625" style="3" bestFit="1" customWidth="1"/>
    <col min="10009" max="10241" width="9.140625" style="3"/>
    <col min="10242" max="10242" width="1.85546875" style="3" customWidth="1"/>
    <col min="10243" max="10243" width="34.5703125" style="3" customWidth="1"/>
    <col min="10244" max="10244" width="21.140625" style="3" bestFit="1" customWidth="1"/>
    <col min="10245" max="10245" width="19.42578125" style="3" bestFit="1" customWidth="1"/>
    <col min="10246" max="10246" width="18.7109375" style="3" bestFit="1" customWidth="1"/>
    <col min="10247" max="10247" width="25" style="3" bestFit="1" customWidth="1"/>
    <col min="10248" max="10248" width="18.5703125" style="3" customWidth="1"/>
    <col min="10249" max="10249" width="9.7109375" style="3" customWidth="1"/>
    <col min="10250" max="10250" width="13.42578125" style="3" bestFit="1" customWidth="1"/>
    <col min="10251" max="10251" width="34.28515625" style="3" bestFit="1" customWidth="1"/>
    <col min="10252" max="10252" width="15" style="3" bestFit="1" customWidth="1"/>
    <col min="10253" max="10253" width="19.42578125" style="3" bestFit="1" customWidth="1"/>
    <col min="10254" max="10254" width="13.28515625" style="3" bestFit="1" customWidth="1"/>
    <col min="10255" max="10255" width="16" style="3" bestFit="1" customWidth="1"/>
    <col min="10256" max="10256" width="9.7109375" style="3" bestFit="1" customWidth="1"/>
    <col min="10257" max="10257" width="8.28515625" style="3" customWidth="1"/>
    <col min="10258" max="10258" width="13.85546875" style="3" bestFit="1" customWidth="1"/>
    <col min="10259" max="10259" width="9" style="3" bestFit="1" customWidth="1"/>
    <col min="10260" max="10260" width="16.5703125" style="3" bestFit="1" customWidth="1"/>
    <col min="10261" max="10261" width="18.85546875" style="3" customWidth="1"/>
    <col min="10262" max="10262" width="21.28515625" style="3" customWidth="1"/>
    <col min="10263" max="10263" width="17.5703125" style="3" customWidth="1"/>
    <col min="10264" max="10264" width="16.28515625" style="3" bestFit="1" customWidth="1"/>
    <col min="10265" max="10497" width="9.140625" style="3"/>
    <col min="10498" max="10498" width="1.85546875" style="3" customWidth="1"/>
    <col min="10499" max="10499" width="34.5703125" style="3" customWidth="1"/>
    <col min="10500" max="10500" width="21.140625" style="3" bestFit="1" customWidth="1"/>
    <col min="10501" max="10501" width="19.42578125" style="3" bestFit="1" customWidth="1"/>
    <col min="10502" max="10502" width="18.7109375" style="3" bestFit="1" customWidth="1"/>
    <col min="10503" max="10503" width="25" style="3" bestFit="1" customWidth="1"/>
    <col min="10504" max="10504" width="18.5703125" style="3" customWidth="1"/>
    <col min="10505" max="10505" width="9.7109375" style="3" customWidth="1"/>
    <col min="10506" max="10506" width="13.42578125" style="3" bestFit="1" customWidth="1"/>
    <col min="10507" max="10507" width="34.28515625" style="3" bestFit="1" customWidth="1"/>
    <col min="10508" max="10508" width="15" style="3" bestFit="1" customWidth="1"/>
    <col min="10509" max="10509" width="19.42578125" style="3" bestFit="1" customWidth="1"/>
    <col min="10510" max="10510" width="13.28515625" style="3" bestFit="1" customWidth="1"/>
    <col min="10511" max="10511" width="16" style="3" bestFit="1" customWidth="1"/>
    <col min="10512" max="10512" width="9.7109375" style="3" bestFit="1" customWidth="1"/>
    <col min="10513" max="10513" width="8.28515625" style="3" customWidth="1"/>
    <col min="10514" max="10514" width="13.85546875" style="3" bestFit="1" customWidth="1"/>
    <col min="10515" max="10515" width="9" style="3" bestFit="1" customWidth="1"/>
    <col min="10516" max="10516" width="16.5703125" style="3" bestFit="1" customWidth="1"/>
    <col min="10517" max="10517" width="18.85546875" style="3" customWidth="1"/>
    <col min="10518" max="10518" width="21.28515625" style="3" customWidth="1"/>
    <col min="10519" max="10519" width="17.5703125" style="3" customWidth="1"/>
    <col min="10520" max="10520" width="16.28515625" style="3" bestFit="1" customWidth="1"/>
    <col min="10521" max="10753" width="9.140625" style="3"/>
    <col min="10754" max="10754" width="1.85546875" style="3" customWidth="1"/>
    <col min="10755" max="10755" width="34.5703125" style="3" customWidth="1"/>
    <col min="10756" max="10756" width="21.140625" style="3" bestFit="1" customWidth="1"/>
    <col min="10757" max="10757" width="19.42578125" style="3" bestFit="1" customWidth="1"/>
    <col min="10758" max="10758" width="18.7109375" style="3" bestFit="1" customWidth="1"/>
    <col min="10759" max="10759" width="25" style="3" bestFit="1" customWidth="1"/>
    <col min="10760" max="10760" width="18.5703125" style="3" customWidth="1"/>
    <col min="10761" max="10761" width="9.7109375" style="3" customWidth="1"/>
    <col min="10762" max="10762" width="13.42578125" style="3" bestFit="1" customWidth="1"/>
    <col min="10763" max="10763" width="34.28515625" style="3" bestFit="1" customWidth="1"/>
    <col min="10764" max="10764" width="15" style="3" bestFit="1" customWidth="1"/>
    <col min="10765" max="10765" width="19.42578125" style="3" bestFit="1" customWidth="1"/>
    <col min="10766" max="10766" width="13.28515625" style="3" bestFit="1" customWidth="1"/>
    <col min="10767" max="10767" width="16" style="3" bestFit="1" customWidth="1"/>
    <col min="10768" max="10768" width="9.7109375" style="3" bestFit="1" customWidth="1"/>
    <col min="10769" max="10769" width="8.28515625" style="3" customWidth="1"/>
    <col min="10770" max="10770" width="13.85546875" style="3" bestFit="1" customWidth="1"/>
    <col min="10771" max="10771" width="9" style="3" bestFit="1" customWidth="1"/>
    <col min="10772" max="10772" width="16.5703125" style="3" bestFit="1" customWidth="1"/>
    <col min="10773" max="10773" width="18.85546875" style="3" customWidth="1"/>
    <col min="10774" max="10774" width="21.28515625" style="3" customWidth="1"/>
    <col min="10775" max="10775" width="17.5703125" style="3" customWidth="1"/>
    <col min="10776" max="10776" width="16.28515625" style="3" bestFit="1" customWidth="1"/>
    <col min="10777" max="11009" width="9.140625" style="3"/>
    <col min="11010" max="11010" width="1.85546875" style="3" customWidth="1"/>
    <col min="11011" max="11011" width="34.5703125" style="3" customWidth="1"/>
    <col min="11012" max="11012" width="21.140625" style="3" bestFit="1" customWidth="1"/>
    <col min="11013" max="11013" width="19.42578125" style="3" bestFit="1" customWidth="1"/>
    <col min="11014" max="11014" width="18.7109375" style="3" bestFit="1" customWidth="1"/>
    <col min="11015" max="11015" width="25" style="3" bestFit="1" customWidth="1"/>
    <col min="11016" max="11016" width="18.5703125" style="3" customWidth="1"/>
    <col min="11017" max="11017" width="9.7109375" style="3" customWidth="1"/>
    <col min="11018" max="11018" width="13.42578125" style="3" bestFit="1" customWidth="1"/>
    <col min="11019" max="11019" width="34.28515625" style="3" bestFit="1" customWidth="1"/>
    <col min="11020" max="11020" width="15" style="3" bestFit="1" customWidth="1"/>
    <col min="11021" max="11021" width="19.42578125" style="3" bestFit="1" customWidth="1"/>
    <col min="11022" max="11022" width="13.28515625" style="3" bestFit="1" customWidth="1"/>
    <col min="11023" max="11023" width="16" style="3" bestFit="1" customWidth="1"/>
    <col min="11024" max="11024" width="9.7109375" style="3" bestFit="1" customWidth="1"/>
    <col min="11025" max="11025" width="8.28515625" style="3" customWidth="1"/>
    <col min="11026" max="11026" width="13.85546875" style="3" bestFit="1" customWidth="1"/>
    <col min="11027" max="11027" width="9" style="3" bestFit="1" customWidth="1"/>
    <col min="11028" max="11028" width="16.5703125" style="3" bestFit="1" customWidth="1"/>
    <col min="11029" max="11029" width="18.85546875" style="3" customWidth="1"/>
    <col min="11030" max="11030" width="21.28515625" style="3" customWidth="1"/>
    <col min="11031" max="11031" width="17.5703125" style="3" customWidth="1"/>
    <col min="11032" max="11032" width="16.28515625" style="3" bestFit="1" customWidth="1"/>
    <col min="11033" max="11265" width="9.140625" style="3"/>
    <col min="11266" max="11266" width="1.85546875" style="3" customWidth="1"/>
    <col min="11267" max="11267" width="34.5703125" style="3" customWidth="1"/>
    <col min="11268" max="11268" width="21.140625" style="3" bestFit="1" customWidth="1"/>
    <col min="11269" max="11269" width="19.42578125" style="3" bestFit="1" customWidth="1"/>
    <col min="11270" max="11270" width="18.7109375" style="3" bestFit="1" customWidth="1"/>
    <col min="11271" max="11271" width="25" style="3" bestFit="1" customWidth="1"/>
    <col min="11272" max="11272" width="18.5703125" style="3" customWidth="1"/>
    <col min="11273" max="11273" width="9.7109375" style="3" customWidth="1"/>
    <col min="11274" max="11274" width="13.42578125" style="3" bestFit="1" customWidth="1"/>
    <col min="11275" max="11275" width="34.28515625" style="3" bestFit="1" customWidth="1"/>
    <col min="11276" max="11276" width="15" style="3" bestFit="1" customWidth="1"/>
    <col min="11277" max="11277" width="19.42578125" style="3" bestFit="1" customWidth="1"/>
    <col min="11278" max="11278" width="13.28515625" style="3" bestFit="1" customWidth="1"/>
    <col min="11279" max="11279" width="16" style="3" bestFit="1" customWidth="1"/>
    <col min="11280" max="11280" width="9.7109375" style="3" bestFit="1" customWidth="1"/>
    <col min="11281" max="11281" width="8.28515625" style="3" customWidth="1"/>
    <col min="11282" max="11282" width="13.85546875" style="3" bestFit="1" customWidth="1"/>
    <col min="11283" max="11283" width="9" style="3" bestFit="1" customWidth="1"/>
    <col min="11284" max="11284" width="16.5703125" style="3" bestFit="1" customWidth="1"/>
    <col min="11285" max="11285" width="18.85546875" style="3" customWidth="1"/>
    <col min="11286" max="11286" width="21.28515625" style="3" customWidth="1"/>
    <col min="11287" max="11287" width="17.5703125" style="3" customWidth="1"/>
    <col min="11288" max="11288" width="16.28515625" style="3" bestFit="1" customWidth="1"/>
    <col min="11289" max="11521" width="9.140625" style="3"/>
    <col min="11522" max="11522" width="1.85546875" style="3" customWidth="1"/>
    <col min="11523" max="11523" width="34.5703125" style="3" customWidth="1"/>
    <col min="11524" max="11524" width="21.140625" style="3" bestFit="1" customWidth="1"/>
    <col min="11525" max="11525" width="19.42578125" style="3" bestFit="1" customWidth="1"/>
    <col min="11526" max="11526" width="18.7109375" style="3" bestFit="1" customWidth="1"/>
    <col min="11527" max="11527" width="25" style="3" bestFit="1" customWidth="1"/>
    <col min="11528" max="11528" width="18.5703125" style="3" customWidth="1"/>
    <col min="11529" max="11529" width="9.7109375" style="3" customWidth="1"/>
    <col min="11530" max="11530" width="13.42578125" style="3" bestFit="1" customWidth="1"/>
    <col min="11531" max="11531" width="34.28515625" style="3" bestFit="1" customWidth="1"/>
    <col min="11532" max="11532" width="15" style="3" bestFit="1" customWidth="1"/>
    <col min="11533" max="11533" width="19.42578125" style="3" bestFit="1" customWidth="1"/>
    <col min="11534" max="11534" width="13.28515625" style="3" bestFit="1" customWidth="1"/>
    <col min="11535" max="11535" width="16" style="3" bestFit="1" customWidth="1"/>
    <col min="11536" max="11536" width="9.7109375" style="3" bestFit="1" customWidth="1"/>
    <col min="11537" max="11537" width="8.28515625" style="3" customWidth="1"/>
    <col min="11538" max="11538" width="13.85546875" style="3" bestFit="1" customWidth="1"/>
    <col min="11539" max="11539" width="9" style="3" bestFit="1" customWidth="1"/>
    <col min="11540" max="11540" width="16.5703125" style="3" bestFit="1" customWidth="1"/>
    <col min="11541" max="11541" width="18.85546875" style="3" customWidth="1"/>
    <col min="11542" max="11542" width="21.28515625" style="3" customWidth="1"/>
    <col min="11543" max="11543" width="17.5703125" style="3" customWidth="1"/>
    <col min="11544" max="11544" width="16.28515625" style="3" bestFit="1" customWidth="1"/>
    <col min="11545" max="11777" width="9.140625" style="3"/>
    <col min="11778" max="11778" width="1.85546875" style="3" customWidth="1"/>
    <col min="11779" max="11779" width="34.5703125" style="3" customWidth="1"/>
    <col min="11780" max="11780" width="21.140625" style="3" bestFit="1" customWidth="1"/>
    <col min="11781" max="11781" width="19.42578125" style="3" bestFit="1" customWidth="1"/>
    <col min="11782" max="11782" width="18.7109375" style="3" bestFit="1" customWidth="1"/>
    <col min="11783" max="11783" width="25" style="3" bestFit="1" customWidth="1"/>
    <col min="11784" max="11784" width="18.5703125" style="3" customWidth="1"/>
    <col min="11785" max="11785" width="9.7109375" style="3" customWidth="1"/>
    <col min="11786" max="11786" width="13.42578125" style="3" bestFit="1" customWidth="1"/>
    <col min="11787" max="11787" width="34.28515625" style="3" bestFit="1" customWidth="1"/>
    <col min="11788" max="11788" width="15" style="3" bestFit="1" customWidth="1"/>
    <col min="11789" max="11789" width="19.42578125" style="3" bestFit="1" customWidth="1"/>
    <col min="11790" max="11790" width="13.28515625" style="3" bestFit="1" customWidth="1"/>
    <col min="11791" max="11791" width="16" style="3" bestFit="1" customWidth="1"/>
    <col min="11792" max="11792" width="9.7109375" style="3" bestFit="1" customWidth="1"/>
    <col min="11793" max="11793" width="8.28515625" style="3" customWidth="1"/>
    <col min="11794" max="11794" width="13.85546875" style="3" bestFit="1" customWidth="1"/>
    <col min="11795" max="11795" width="9" style="3" bestFit="1" customWidth="1"/>
    <col min="11796" max="11796" width="16.5703125" style="3" bestFit="1" customWidth="1"/>
    <col min="11797" max="11797" width="18.85546875" style="3" customWidth="1"/>
    <col min="11798" max="11798" width="21.28515625" style="3" customWidth="1"/>
    <col min="11799" max="11799" width="17.5703125" style="3" customWidth="1"/>
    <col min="11800" max="11800" width="16.28515625" style="3" bestFit="1" customWidth="1"/>
    <col min="11801" max="12033" width="9.140625" style="3"/>
    <col min="12034" max="12034" width="1.85546875" style="3" customWidth="1"/>
    <col min="12035" max="12035" width="34.5703125" style="3" customWidth="1"/>
    <col min="12036" max="12036" width="21.140625" style="3" bestFit="1" customWidth="1"/>
    <col min="12037" max="12037" width="19.42578125" style="3" bestFit="1" customWidth="1"/>
    <col min="12038" max="12038" width="18.7109375" style="3" bestFit="1" customWidth="1"/>
    <col min="12039" max="12039" width="25" style="3" bestFit="1" customWidth="1"/>
    <col min="12040" max="12040" width="18.5703125" style="3" customWidth="1"/>
    <col min="12041" max="12041" width="9.7109375" style="3" customWidth="1"/>
    <col min="12042" max="12042" width="13.42578125" style="3" bestFit="1" customWidth="1"/>
    <col min="12043" max="12043" width="34.28515625" style="3" bestFit="1" customWidth="1"/>
    <col min="12044" max="12044" width="15" style="3" bestFit="1" customWidth="1"/>
    <col min="12045" max="12045" width="19.42578125" style="3" bestFit="1" customWidth="1"/>
    <col min="12046" max="12046" width="13.28515625" style="3" bestFit="1" customWidth="1"/>
    <col min="12047" max="12047" width="16" style="3" bestFit="1" customWidth="1"/>
    <col min="12048" max="12048" width="9.7109375" style="3" bestFit="1" customWidth="1"/>
    <col min="12049" max="12049" width="8.28515625" style="3" customWidth="1"/>
    <col min="12050" max="12050" width="13.85546875" style="3" bestFit="1" customWidth="1"/>
    <col min="12051" max="12051" width="9" style="3" bestFit="1" customWidth="1"/>
    <col min="12052" max="12052" width="16.5703125" style="3" bestFit="1" customWidth="1"/>
    <col min="12053" max="12053" width="18.85546875" style="3" customWidth="1"/>
    <col min="12054" max="12054" width="21.28515625" style="3" customWidth="1"/>
    <col min="12055" max="12055" width="17.5703125" style="3" customWidth="1"/>
    <col min="12056" max="12056" width="16.28515625" style="3" bestFit="1" customWidth="1"/>
    <col min="12057" max="12289" width="9.140625" style="3"/>
    <col min="12290" max="12290" width="1.85546875" style="3" customWidth="1"/>
    <col min="12291" max="12291" width="34.5703125" style="3" customWidth="1"/>
    <col min="12292" max="12292" width="21.140625" style="3" bestFit="1" customWidth="1"/>
    <col min="12293" max="12293" width="19.42578125" style="3" bestFit="1" customWidth="1"/>
    <col min="12294" max="12294" width="18.7109375" style="3" bestFit="1" customWidth="1"/>
    <col min="12295" max="12295" width="25" style="3" bestFit="1" customWidth="1"/>
    <col min="12296" max="12296" width="18.5703125" style="3" customWidth="1"/>
    <col min="12297" max="12297" width="9.7109375" style="3" customWidth="1"/>
    <col min="12298" max="12298" width="13.42578125" style="3" bestFit="1" customWidth="1"/>
    <col min="12299" max="12299" width="34.28515625" style="3" bestFit="1" customWidth="1"/>
    <col min="12300" max="12300" width="15" style="3" bestFit="1" customWidth="1"/>
    <col min="12301" max="12301" width="19.42578125" style="3" bestFit="1" customWidth="1"/>
    <col min="12302" max="12302" width="13.28515625" style="3" bestFit="1" customWidth="1"/>
    <col min="12303" max="12303" width="16" style="3" bestFit="1" customWidth="1"/>
    <col min="12304" max="12304" width="9.7109375" style="3" bestFit="1" customWidth="1"/>
    <col min="12305" max="12305" width="8.28515625" style="3" customWidth="1"/>
    <col min="12306" max="12306" width="13.85546875" style="3" bestFit="1" customWidth="1"/>
    <col min="12307" max="12307" width="9" style="3" bestFit="1" customWidth="1"/>
    <col min="12308" max="12308" width="16.5703125" style="3" bestFit="1" customWidth="1"/>
    <col min="12309" max="12309" width="18.85546875" style="3" customWidth="1"/>
    <col min="12310" max="12310" width="21.28515625" style="3" customWidth="1"/>
    <col min="12311" max="12311" width="17.5703125" style="3" customWidth="1"/>
    <col min="12312" max="12312" width="16.28515625" style="3" bestFit="1" customWidth="1"/>
    <col min="12313" max="12545" width="9.140625" style="3"/>
    <col min="12546" max="12546" width="1.85546875" style="3" customWidth="1"/>
    <col min="12547" max="12547" width="34.5703125" style="3" customWidth="1"/>
    <col min="12548" max="12548" width="21.140625" style="3" bestFit="1" customWidth="1"/>
    <col min="12549" max="12549" width="19.42578125" style="3" bestFit="1" customWidth="1"/>
    <col min="12550" max="12550" width="18.7109375" style="3" bestFit="1" customWidth="1"/>
    <col min="12551" max="12551" width="25" style="3" bestFit="1" customWidth="1"/>
    <col min="12552" max="12552" width="18.5703125" style="3" customWidth="1"/>
    <col min="12553" max="12553" width="9.7109375" style="3" customWidth="1"/>
    <col min="12554" max="12554" width="13.42578125" style="3" bestFit="1" customWidth="1"/>
    <col min="12555" max="12555" width="34.28515625" style="3" bestFit="1" customWidth="1"/>
    <col min="12556" max="12556" width="15" style="3" bestFit="1" customWidth="1"/>
    <col min="12557" max="12557" width="19.42578125" style="3" bestFit="1" customWidth="1"/>
    <col min="12558" max="12558" width="13.28515625" style="3" bestFit="1" customWidth="1"/>
    <col min="12559" max="12559" width="16" style="3" bestFit="1" customWidth="1"/>
    <col min="12560" max="12560" width="9.7109375" style="3" bestFit="1" customWidth="1"/>
    <col min="12561" max="12561" width="8.28515625" style="3" customWidth="1"/>
    <col min="12562" max="12562" width="13.85546875" style="3" bestFit="1" customWidth="1"/>
    <col min="12563" max="12563" width="9" style="3" bestFit="1" customWidth="1"/>
    <col min="12564" max="12564" width="16.5703125" style="3" bestFit="1" customWidth="1"/>
    <col min="12565" max="12565" width="18.85546875" style="3" customWidth="1"/>
    <col min="12566" max="12566" width="21.28515625" style="3" customWidth="1"/>
    <col min="12567" max="12567" width="17.5703125" style="3" customWidth="1"/>
    <col min="12568" max="12568" width="16.28515625" style="3" bestFit="1" customWidth="1"/>
    <col min="12569" max="12801" width="9.140625" style="3"/>
    <col min="12802" max="12802" width="1.85546875" style="3" customWidth="1"/>
    <col min="12803" max="12803" width="34.5703125" style="3" customWidth="1"/>
    <col min="12804" max="12804" width="21.140625" style="3" bestFit="1" customWidth="1"/>
    <col min="12805" max="12805" width="19.42578125" style="3" bestFit="1" customWidth="1"/>
    <col min="12806" max="12806" width="18.7109375" style="3" bestFit="1" customWidth="1"/>
    <col min="12807" max="12807" width="25" style="3" bestFit="1" customWidth="1"/>
    <col min="12808" max="12808" width="18.5703125" style="3" customWidth="1"/>
    <col min="12809" max="12809" width="9.7109375" style="3" customWidth="1"/>
    <col min="12810" max="12810" width="13.42578125" style="3" bestFit="1" customWidth="1"/>
    <col min="12811" max="12811" width="34.28515625" style="3" bestFit="1" customWidth="1"/>
    <col min="12812" max="12812" width="15" style="3" bestFit="1" customWidth="1"/>
    <col min="12813" max="12813" width="19.42578125" style="3" bestFit="1" customWidth="1"/>
    <col min="12814" max="12814" width="13.28515625" style="3" bestFit="1" customWidth="1"/>
    <col min="12815" max="12815" width="16" style="3" bestFit="1" customWidth="1"/>
    <col min="12816" max="12816" width="9.7109375" style="3" bestFit="1" customWidth="1"/>
    <col min="12817" max="12817" width="8.28515625" style="3" customWidth="1"/>
    <col min="12818" max="12818" width="13.85546875" style="3" bestFit="1" customWidth="1"/>
    <col min="12819" max="12819" width="9" style="3" bestFit="1" customWidth="1"/>
    <col min="12820" max="12820" width="16.5703125" style="3" bestFit="1" customWidth="1"/>
    <col min="12821" max="12821" width="18.85546875" style="3" customWidth="1"/>
    <col min="12822" max="12822" width="21.28515625" style="3" customWidth="1"/>
    <col min="12823" max="12823" width="17.5703125" style="3" customWidth="1"/>
    <col min="12824" max="12824" width="16.28515625" style="3" bestFit="1" customWidth="1"/>
    <col min="12825" max="13057" width="9.140625" style="3"/>
    <col min="13058" max="13058" width="1.85546875" style="3" customWidth="1"/>
    <col min="13059" max="13059" width="34.5703125" style="3" customWidth="1"/>
    <col min="13060" max="13060" width="21.140625" style="3" bestFit="1" customWidth="1"/>
    <col min="13061" max="13061" width="19.42578125" style="3" bestFit="1" customWidth="1"/>
    <col min="13062" max="13062" width="18.7109375" style="3" bestFit="1" customWidth="1"/>
    <col min="13063" max="13063" width="25" style="3" bestFit="1" customWidth="1"/>
    <col min="13064" max="13064" width="18.5703125" style="3" customWidth="1"/>
    <col min="13065" max="13065" width="9.7109375" style="3" customWidth="1"/>
    <col min="13066" max="13066" width="13.42578125" style="3" bestFit="1" customWidth="1"/>
    <col min="13067" max="13067" width="34.28515625" style="3" bestFit="1" customWidth="1"/>
    <col min="13068" max="13068" width="15" style="3" bestFit="1" customWidth="1"/>
    <col min="13069" max="13069" width="19.42578125" style="3" bestFit="1" customWidth="1"/>
    <col min="13070" max="13070" width="13.28515625" style="3" bestFit="1" customWidth="1"/>
    <col min="13071" max="13071" width="16" style="3" bestFit="1" customWidth="1"/>
    <col min="13072" max="13072" width="9.7109375" style="3" bestFit="1" customWidth="1"/>
    <col min="13073" max="13073" width="8.28515625" style="3" customWidth="1"/>
    <col min="13074" max="13074" width="13.85546875" style="3" bestFit="1" customWidth="1"/>
    <col min="13075" max="13075" width="9" style="3" bestFit="1" customWidth="1"/>
    <col min="13076" max="13076" width="16.5703125" style="3" bestFit="1" customWidth="1"/>
    <col min="13077" max="13077" width="18.85546875" style="3" customWidth="1"/>
    <col min="13078" max="13078" width="21.28515625" style="3" customWidth="1"/>
    <col min="13079" max="13079" width="17.5703125" style="3" customWidth="1"/>
    <col min="13080" max="13080" width="16.28515625" style="3" bestFit="1" customWidth="1"/>
    <col min="13081" max="13313" width="9.140625" style="3"/>
    <col min="13314" max="13314" width="1.85546875" style="3" customWidth="1"/>
    <col min="13315" max="13315" width="34.5703125" style="3" customWidth="1"/>
    <col min="13316" max="13316" width="21.140625" style="3" bestFit="1" customWidth="1"/>
    <col min="13317" max="13317" width="19.42578125" style="3" bestFit="1" customWidth="1"/>
    <col min="13318" max="13318" width="18.7109375" style="3" bestFit="1" customWidth="1"/>
    <col min="13319" max="13319" width="25" style="3" bestFit="1" customWidth="1"/>
    <col min="13320" max="13320" width="18.5703125" style="3" customWidth="1"/>
    <col min="13321" max="13321" width="9.7109375" style="3" customWidth="1"/>
    <col min="13322" max="13322" width="13.42578125" style="3" bestFit="1" customWidth="1"/>
    <col min="13323" max="13323" width="34.28515625" style="3" bestFit="1" customWidth="1"/>
    <col min="13324" max="13324" width="15" style="3" bestFit="1" customWidth="1"/>
    <col min="13325" max="13325" width="19.42578125" style="3" bestFit="1" customWidth="1"/>
    <col min="13326" max="13326" width="13.28515625" style="3" bestFit="1" customWidth="1"/>
    <col min="13327" max="13327" width="16" style="3" bestFit="1" customWidth="1"/>
    <col min="13328" max="13328" width="9.7109375" style="3" bestFit="1" customWidth="1"/>
    <col min="13329" max="13329" width="8.28515625" style="3" customWidth="1"/>
    <col min="13330" max="13330" width="13.85546875" style="3" bestFit="1" customWidth="1"/>
    <col min="13331" max="13331" width="9" style="3" bestFit="1" customWidth="1"/>
    <col min="13332" max="13332" width="16.5703125" style="3" bestFit="1" customWidth="1"/>
    <col min="13333" max="13333" width="18.85546875" style="3" customWidth="1"/>
    <col min="13334" max="13334" width="21.28515625" style="3" customWidth="1"/>
    <col min="13335" max="13335" width="17.5703125" style="3" customWidth="1"/>
    <col min="13336" max="13336" width="16.28515625" style="3" bestFit="1" customWidth="1"/>
    <col min="13337" max="13569" width="9.140625" style="3"/>
    <col min="13570" max="13570" width="1.85546875" style="3" customWidth="1"/>
    <col min="13571" max="13571" width="34.5703125" style="3" customWidth="1"/>
    <col min="13572" max="13572" width="21.140625" style="3" bestFit="1" customWidth="1"/>
    <col min="13573" max="13573" width="19.42578125" style="3" bestFit="1" customWidth="1"/>
    <col min="13574" max="13574" width="18.7109375" style="3" bestFit="1" customWidth="1"/>
    <col min="13575" max="13575" width="25" style="3" bestFit="1" customWidth="1"/>
    <col min="13576" max="13576" width="18.5703125" style="3" customWidth="1"/>
    <col min="13577" max="13577" width="9.7109375" style="3" customWidth="1"/>
    <col min="13578" max="13578" width="13.42578125" style="3" bestFit="1" customWidth="1"/>
    <col min="13579" max="13579" width="34.28515625" style="3" bestFit="1" customWidth="1"/>
    <col min="13580" max="13580" width="15" style="3" bestFit="1" customWidth="1"/>
    <col min="13581" max="13581" width="19.42578125" style="3" bestFit="1" customWidth="1"/>
    <col min="13582" max="13582" width="13.28515625" style="3" bestFit="1" customWidth="1"/>
    <col min="13583" max="13583" width="16" style="3" bestFit="1" customWidth="1"/>
    <col min="13584" max="13584" width="9.7109375" style="3" bestFit="1" customWidth="1"/>
    <col min="13585" max="13585" width="8.28515625" style="3" customWidth="1"/>
    <col min="13586" max="13586" width="13.85546875" style="3" bestFit="1" customWidth="1"/>
    <col min="13587" max="13587" width="9" style="3" bestFit="1" customWidth="1"/>
    <col min="13588" max="13588" width="16.5703125" style="3" bestFit="1" customWidth="1"/>
    <col min="13589" max="13589" width="18.85546875" style="3" customWidth="1"/>
    <col min="13590" max="13590" width="21.28515625" style="3" customWidth="1"/>
    <col min="13591" max="13591" width="17.5703125" style="3" customWidth="1"/>
    <col min="13592" max="13592" width="16.28515625" style="3" bestFit="1" customWidth="1"/>
    <col min="13593" max="13825" width="9.140625" style="3"/>
    <col min="13826" max="13826" width="1.85546875" style="3" customWidth="1"/>
    <col min="13827" max="13827" width="34.5703125" style="3" customWidth="1"/>
    <col min="13828" max="13828" width="21.140625" style="3" bestFit="1" customWidth="1"/>
    <col min="13829" max="13829" width="19.42578125" style="3" bestFit="1" customWidth="1"/>
    <col min="13830" max="13830" width="18.7109375" style="3" bestFit="1" customWidth="1"/>
    <col min="13831" max="13831" width="25" style="3" bestFit="1" customWidth="1"/>
    <col min="13832" max="13832" width="18.5703125" style="3" customWidth="1"/>
    <col min="13833" max="13833" width="9.7109375" style="3" customWidth="1"/>
    <col min="13834" max="13834" width="13.42578125" style="3" bestFit="1" customWidth="1"/>
    <col min="13835" max="13835" width="34.28515625" style="3" bestFit="1" customWidth="1"/>
    <col min="13836" max="13836" width="15" style="3" bestFit="1" customWidth="1"/>
    <col min="13837" max="13837" width="19.42578125" style="3" bestFit="1" customWidth="1"/>
    <col min="13838" max="13838" width="13.28515625" style="3" bestFit="1" customWidth="1"/>
    <col min="13839" max="13839" width="16" style="3" bestFit="1" customWidth="1"/>
    <col min="13840" max="13840" width="9.7109375" style="3" bestFit="1" customWidth="1"/>
    <col min="13841" max="13841" width="8.28515625" style="3" customWidth="1"/>
    <col min="13842" max="13842" width="13.85546875" style="3" bestFit="1" customWidth="1"/>
    <col min="13843" max="13843" width="9" style="3" bestFit="1" customWidth="1"/>
    <col min="13844" max="13844" width="16.5703125" style="3" bestFit="1" customWidth="1"/>
    <col min="13845" max="13845" width="18.85546875" style="3" customWidth="1"/>
    <col min="13846" max="13846" width="21.28515625" style="3" customWidth="1"/>
    <col min="13847" max="13847" width="17.5703125" style="3" customWidth="1"/>
    <col min="13848" max="13848" width="16.28515625" style="3" bestFit="1" customWidth="1"/>
    <col min="13849" max="14081" width="9.140625" style="3"/>
    <col min="14082" max="14082" width="1.85546875" style="3" customWidth="1"/>
    <col min="14083" max="14083" width="34.5703125" style="3" customWidth="1"/>
    <col min="14084" max="14084" width="21.140625" style="3" bestFit="1" customWidth="1"/>
    <col min="14085" max="14085" width="19.42578125" style="3" bestFit="1" customWidth="1"/>
    <col min="14086" max="14086" width="18.7109375" style="3" bestFit="1" customWidth="1"/>
    <col min="14087" max="14087" width="25" style="3" bestFit="1" customWidth="1"/>
    <col min="14088" max="14088" width="18.5703125" style="3" customWidth="1"/>
    <col min="14089" max="14089" width="9.7109375" style="3" customWidth="1"/>
    <col min="14090" max="14090" width="13.42578125" style="3" bestFit="1" customWidth="1"/>
    <col min="14091" max="14091" width="34.28515625" style="3" bestFit="1" customWidth="1"/>
    <col min="14092" max="14092" width="15" style="3" bestFit="1" customWidth="1"/>
    <col min="14093" max="14093" width="19.42578125" style="3" bestFit="1" customWidth="1"/>
    <col min="14094" max="14094" width="13.28515625" style="3" bestFit="1" customWidth="1"/>
    <col min="14095" max="14095" width="16" style="3" bestFit="1" customWidth="1"/>
    <col min="14096" max="14096" width="9.7109375" style="3" bestFit="1" customWidth="1"/>
    <col min="14097" max="14097" width="8.28515625" style="3" customWidth="1"/>
    <col min="14098" max="14098" width="13.85546875" style="3" bestFit="1" customWidth="1"/>
    <col min="14099" max="14099" width="9" style="3" bestFit="1" customWidth="1"/>
    <col min="14100" max="14100" width="16.5703125" style="3" bestFit="1" customWidth="1"/>
    <col min="14101" max="14101" width="18.85546875" style="3" customWidth="1"/>
    <col min="14102" max="14102" width="21.28515625" style="3" customWidth="1"/>
    <col min="14103" max="14103" width="17.5703125" style="3" customWidth="1"/>
    <col min="14104" max="14104" width="16.28515625" style="3" bestFit="1" customWidth="1"/>
    <col min="14105" max="14337" width="9.140625" style="3"/>
    <col min="14338" max="14338" width="1.85546875" style="3" customWidth="1"/>
    <col min="14339" max="14339" width="34.5703125" style="3" customWidth="1"/>
    <col min="14340" max="14340" width="21.140625" style="3" bestFit="1" customWidth="1"/>
    <col min="14341" max="14341" width="19.42578125" style="3" bestFit="1" customWidth="1"/>
    <col min="14342" max="14342" width="18.7109375" style="3" bestFit="1" customWidth="1"/>
    <col min="14343" max="14343" width="25" style="3" bestFit="1" customWidth="1"/>
    <col min="14344" max="14344" width="18.5703125" style="3" customWidth="1"/>
    <col min="14345" max="14345" width="9.7109375" style="3" customWidth="1"/>
    <col min="14346" max="14346" width="13.42578125" style="3" bestFit="1" customWidth="1"/>
    <col min="14347" max="14347" width="34.28515625" style="3" bestFit="1" customWidth="1"/>
    <col min="14348" max="14348" width="15" style="3" bestFit="1" customWidth="1"/>
    <col min="14349" max="14349" width="19.42578125" style="3" bestFit="1" customWidth="1"/>
    <col min="14350" max="14350" width="13.28515625" style="3" bestFit="1" customWidth="1"/>
    <col min="14351" max="14351" width="16" style="3" bestFit="1" customWidth="1"/>
    <col min="14352" max="14352" width="9.7109375" style="3" bestFit="1" customWidth="1"/>
    <col min="14353" max="14353" width="8.28515625" style="3" customWidth="1"/>
    <col min="14354" max="14354" width="13.85546875" style="3" bestFit="1" customWidth="1"/>
    <col min="14355" max="14355" width="9" style="3" bestFit="1" customWidth="1"/>
    <col min="14356" max="14356" width="16.5703125" style="3" bestFit="1" customWidth="1"/>
    <col min="14357" max="14357" width="18.85546875" style="3" customWidth="1"/>
    <col min="14358" max="14358" width="21.28515625" style="3" customWidth="1"/>
    <col min="14359" max="14359" width="17.5703125" style="3" customWidth="1"/>
    <col min="14360" max="14360" width="16.28515625" style="3" bestFit="1" customWidth="1"/>
    <col min="14361" max="14593" width="9.140625" style="3"/>
    <col min="14594" max="14594" width="1.85546875" style="3" customWidth="1"/>
    <col min="14595" max="14595" width="34.5703125" style="3" customWidth="1"/>
    <col min="14596" max="14596" width="21.140625" style="3" bestFit="1" customWidth="1"/>
    <col min="14597" max="14597" width="19.42578125" style="3" bestFit="1" customWidth="1"/>
    <col min="14598" max="14598" width="18.7109375" style="3" bestFit="1" customWidth="1"/>
    <col min="14599" max="14599" width="25" style="3" bestFit="1" customWidth="1"/>
    <col min="14600" max="14600" width="18.5703125" style="3" customWidth="1"/>
    <col min="14601" max="14601" width="9.7109375" style="3" customWidth="1"/>
    <col min="14602" max="14602" width="13.42578125" style="3" bestFit="1" customWidth="1"/>
    <col min="14603" max="14603" width="34.28515625" style="3" bestFit="1" customWidth="1"/>
    <col min="14604" max="14604" width="15" style="3" bestFit="1" customWidth="1"/>
    <col min="14605" max="14605" width="19.42578125" style="3" bestFit="1" customWidth="1"/>
    <col min="14606" max="14606" width="13.28515625" style="3" bestFit="1" customWidth="1"/>
    <col min="14607" max="14607" width="16" style="3" bestFit="1" customWidth="1"/>
    <col min="14608" max="14608" width="9.7109375" style="3" bestFit="1" customWidth="1"/>
    <col min="14609" max="14609" width="8.28515625" style="3" customWidth="1"/>
    <col min="14610" max="14610" width="13.85546875" style="3" bestFit="1" customWidth="1"/>
    <col min="14611" max="14611" width="9" style="3" bestFit="1" customWidth="1"/>
    <col min="14612" max="14612" width="16.5703125" style="3" bestFit="1" customWidth="1"/>
    <col min="14613" max="14613" width="18.85546875" style="3" customWidth="1"/>
    <col min="14614" max="14614" width="21.28515625" style="3" customWidth="1"/>
    <col min="14615" max="14615" width="17.5703125" style="3" customWidth="1"/>
    <col min="14616" max="14616" width="16.28515625" style="3" bestFit="1" customWidth="1"/>
    <col min="14617" max="14849" width="9.140625" style="3"/>
    <col min="14850" max="14850" width="1.85546875" style="3" customWidth="1"/>
    <col min="14851" max="14851" width="34.5703125" style="3" customWidth="1"/>
    <col min="14852" max="14852" width="21.140625" style="3" bestFit="1" customWidth="1"/>
    <col min="14853" max="14853" width="19.42578125" style="3" bestFit="1" customWidth="1"/>
    <col min="14854" max="14854" width="18.7109375" style="3" bestFit="1" customWidth="1"/>
    <col min="14855" max="14855" width="25" style="3" bestFit="1" customWidth="1"/>
    <col min="14856" max="14856" width="18.5703125" style="3" customWidth="1"/>
    <col min="14857" max="14857" width="9.7109375" style="3" customWidth="1"/>
    <col min="14858" max="14858" width="13.42578125" style="3" bestFit="1" customWidth="1"/>
    <col min="14859" max="14859" width="34.28515625" style="3" bestFit="1" customWidth="1"/>
    <col min="14860" max="14860" width="15" style="3" bestFit="1" customWidth="1"/>
    <col min="14861" max="14861" width="19.42578125" style="3" bestFit="1" customWidth="1"/>
    <col min="14862" max="14862" width="13.28515625" style="3" bestFit="1" customWidth="1"/>
    <col min="14863" max="14863" width="16" style="3" bestFit="1" customWidth="1"/>
    <col min="14864" max="14864" width="9.7109375" style="3" bestFit="1" customWidth="1"/>
    <col min="14865" max="14865" width="8.28515625" style="3" customWidth="1"/>
    <col min="14866" max="14866" width="13.85546875" style="3" bestFit="1" customWidth="1"/>
    <col min="14867" max="14867" width="9" style="3" bestFit="1" customWidth="1"/>
    <col min="14868" max="14868" width="16.5703125" style="3" bestFit="1" customWidth="1"/>
    <col min="14869" max="14869" width="18.85546875" style="3" customWidth="1"/>
    <col min="14870" max="14870" width="21.28515625" style="3" customWidth="1"/>
    <col min="14871" max="14871" width="17.5703125" style="3" customWidth="1"/>
    <col min="14872" max="14872" width="16.28515625" style="3" bestFit="1" customWidth="1"/>
    <col min="14873" max="15105" width="9.140625" style="3"/>
    <col min="15106" max="15106" width="1.85546875" style="3" customWidth="1"/>
    <col min="15107" max="15107" width="34.5703125" style="3" customWidth="1"/>
    <col min="15108" max="15108" width="21.140625" style="3" bestFit="1" customWidth="1"/>
    <col min="15109" max="15109" width="19.42578125" style="3" bestFit="1" customWidth="1"/>
    <col min="15110" max="15110" width="18.7109375" style="3" bestFit="1" customWidth="1"/>
    <col min="15111" max="15111" width="25" style="3" bestFit="1" customWidth="1"/>
    <col min="15112" max="15112" width="18.5703125" style="3" customWidth="1"/>
    <col min="15113" max="15113" width="9.7109375" style="3" customWidth="1"/>
    <col min="15114" max="15114" width="13.42578125" style="3" bestFit="1" customWidth="1"/>
    <col min="15115" max="15115" width="34.28515625" style="3" bestFit="1" customWidth="1"/>
    <col min="15116" max="15116" width="15" style="3" bestFit="1" customWidth="1"/>
    <col min="15117" max="15117" width="19.42578125" style="3" bestFit="1" customWidth="1"/>
    <col min="15118" max="15118" width="13.28515625" style="3" bestFit="1" customWidth="1"/>
    <col min="15119" max="15119" width="16" style="3" bestFit="1" customWidth="1"/>
    <col min="15120" max="15120" width="9.7109375" style="3" bestFit="1" customWidth="1"/>
    <col min="15121" max="15121" width="8.28515625" style="3" customWidth="1"/>
    <col min="15122" max="15122" width="13.85546875" style="3" bestFit="1" customWidth="1"/>
    <col min="15123" max="15123" width="9" style="3" bestFit="1" customWidth="1"/>
    <col min="15124" max="15124" width="16.5703125" style="3" bestFit="1" customWidth="1"/>
    <col min="15125" max="15125" width="18.85546875" style="3" customWidth="1"/>
    <col min="15126" max="15126" width="21.28515625" style="3" customWidth="1"/>
    <col min="15127" max="15127" width="17.5703125" style="3" customWidth="1"/>
    <col min="15128" max="15128" width="16.28515625" style="3" bestFit="1" customWidth="1"/>
    <col min="15129" max="15361" width="9.140625" style="3"/>
    <col min="15362" max="15362" width="1.85546875" style="3" customWidth="1"/>
    <col min="15363" max="15363" width="34.5703125" style="3" customWidth="1"/>
    <col min="15364" max="15364" width="21.140625" style="3" bestFit="1" customWidth="1"/>
    <col min="15365" max="15365" width="19.42578125" style="3" bestFit="1" customWidth="1"/>
    <col min="15366" max="15366" width="18.7109375" style="3" bestFit="1" customWidth="1"/>
    <col min="15367" max="15367" width="25" style="3" bestFit="1" customWidth="1"/>
    <col min="15368" max="15368" width="18.5703125" style="3" customWidth="1"/>
    <col min="15369" max="15369" width="9.7109375" style="3" customWidth="1"/>
    <col min="15370" max="15370" width="13.42578125" style="3" bestFit="1" customWidth="1"/>
    <col min="15371" max="15371" width="34.28515625" style="3" bestFit="1" customWidth="1"/>
    <col min="15372" max="15372" width="15" style="3" bestFit="1" customWidth="1"/>
    <col min="15373" max="15373" width="19.42578125" style="3" bestFit="1" customWidth="1"/>
    <col min="15374" max="15374" width="13.28515625" style="3" bestFit="1" customWidth="1"/>
    <col min="15375" max="15375" width="16" style="3" bestFit="1" customWidth="1"/>
    <col min="15376" max="15376" width="9.7109375" style="3" bestFit="1" customWidth="1"/>
    <col min="15377" max="15377" width="8.28515625" style="3" customWidth="1"/>
    <col min="15378" max="15378" width="13.85546875" style="3" bestFit="1" customWidth="1"/>
    <col min="15379" max="15379" width="9" style="3" bestFit="1" customWidth="1"/>
    <col min="15380" max="15380" width="16.5703125" style="3" bestFit="1" customWidth="1"/>
    <col min="15381" max="15381" width="18.85546875" style="3" customWidth="1"/>
    <col min="15382" max="15382" width="21.28515625" style="3" customWidth="1"/>
    <col min="15383" max="15383" width="17.5703125" style="3" customWidth="1"/>
    <col min="15384" max="15384" width="16.28515625" style="3" bestFit="1" customWidth="1"/>
    <col min="15385" max="15617" width="9.140625" style="3"/>
    <col min="15618" max="15618" width="1.85546875" style="3" customWidth="1"/>
    <col min="15619" max="15619" width="34.5703125" style="3" customWidth="1"/>
    <col min="15620" max="15620" width="21.140625" style="3" bestFit="1" customWidth="1"/>
    <col min="15621" max="15621" width="19.42578125" style="3" bestFit="1" customWidth="1"/>
    <col min="15622" max="15622" width="18.7109375" style="3" bestFit="1" customWidth="1"/>
    <col min="15623" max="15623" width="25" style="3" bestFit="1" customWidth="1"/>
    <col min="15624" max="15624" width="18.5703125" style="3" customWidth="1"/>
    <col min="15625" max="15625" width="9.7109375" style="3" customWidth="1"/>
    <col min="15626" max="15626" width="13.42578125" style="3" bestFit="1" customWidth="1"/>
    <col min="15627" max="15627" width="34.28515625" style="3" bestFit="1" customWidth="1"/>
    <col min="15628" max="15628" width="15" style="3" bestFit="1" customWidth="1"/>
    <col min="15629" max="15629" width="19.42578125" style="3" bestFit="1" customWidth="1"/>
    <col min="15630" max="15630" width="13.28515625" style="3" bestFit="1" customWidth="1"/>
    <col min="15631" max="15631" width="16" style="3" bestFit="1" customWidth="1"/>
    <col min="15632" max="15632" width="9.7109375" style="3" bestFit="1" customWidth="1"/>
    <col min="15633" max="15633" width="8.28515625" style="3" customWidth="1"/>
    <col min="15634" max="15634" width="13.85546875" style="3" bestFit="1" customWidth="1"/>
    <col min="15635" max="15635" width="9" style="3" bestFit="1" customWidth="1"/>
    <col min="15636" max="15636" width="16.5703125" style="3" bestFit="1" customWidth="1"/>
    <col min="15637" max="15637" width="18.85546875" style="3" customWidth="1"/>
    <col min="15638" max="15638" width="21.28515625" style="3" customWidth="1"/>
    <col min="15639" max="15639" width="17.5703125" style="3" customWidth="1"/>
    <col min="15640" max="15640" width="16.28515625" style="3" bestFit="1" customWidth="1"/>
    <col min="15641" max="15873" width="9.140625" style="3"/>
    <col min="15874" max="15874" width="1.85546875" style="3" customWidth="1"/>
    <col min="15875" max="15875" width="34.5703125" style="3" customWidth="1"/>
    <col min="15876" max="15876" width="21.140625" style="3" bestFit="1" customWidth="1"/>
    <col min="15877" max="15877" width="19.42578125" style="3" bestFit="1" customWidth="1"/>
    <col min="15878" max="15878" width="18.7109375" style="3" bestFit="1" customWidth="1"/>
    <col min="15879" max="15879" width="25" style="3" bestFit="1" customWidth="1"/>
    <col min="15880" max="15880" width="18.5703125" style="3" customWidth="1"/>
    <col min="15881" max="15881" width="9.7109375" style="3" customWidth="1"/>
    <col min="15882" max="15882" width="13.42578125" style="3" bestFit="1" customWidth="1"/>
    <col min="15883" max="15883" width="34.28515625" style="3" bestFit="1" customWidth="1"/>
    <col min="15884" max="15884" width="15" style="3" bestFit="1" customWidth="1"/>
    <col min="15885" max="15885" width="19.42578125" style="3" bestFit="1" customWidth="1"/>
    <col min="15886" max="15886" width="13.28515625" style="3" bestFit="1" customWidth="1"/>
    <col min="15887" max="15887" width="16" style="3" bestFit="1" customWidth="1"/>
    <col min="15888" max="15888" width="9.7109375" style="3" bestFit="1" customWidth="1"/>
    <col min="15889" max="15889" width="8.28515625" style="3" customWidth="1"/>
    <col min="15890" max="15890" width="13.85546875" style="3" bestFit="1" customWidth="1"/>
    <col min="15891" max="15891" width="9" style="3" bestFit="1" customWidth="1"/>
    <col min="15892" max="15892" width="16.5703125" style="3" bestFit="1" customWidth="1"/>
    <col min="15893" max="15893" width="18.85546875" style="3" customWidth="1"/>
    <col min="15894" max="15894" width="21.28515625" style="3" customWidth="1"/>
    <col min="15895" max="15895" width="17.5703125" style="3" customWidth="1"/>
    <col min="15896" max="15896" width="16.28515625" style="3" bestFit="1" customWidth="1"/>
    <col min="15897" max="16129" width="9.140625" style="3"/>
    <col min="16130" max="16130" width="1.85546875" style="3" customWidth="1"/>
    <col min="16131" max="16131" width="34.5703125" style="3" customWidth="1"/>
    <col min="16132" max="16132" width="21.140625" style="3" bestFit="1" customWidth="1"/>
    <col min="16133" max="16133" width="19.42578125" style="3" bestFit="1" customWidth="1"/>
    <col min="16134" max="16134" width="18.7109375" style="3" bestFit="1" customWidth="1"/>
    <col min="16135" max="16135" width="25" style="3" bestFit="1" customWidth="1"/>
    <col min="16136" max="16136" width="18.5703125" style="3" customWidth="1"/>
    <col min="16137" max="16137" width="9.7109375" style="3" customWidth="1"/>
    <col min="16138" max="16138" width="13.42578125" style="3" bestFit="1" customWidth="1"/>
    <col min="16139" max="16139" width="34.28515625" style="3" bestFit="1" customWidth="1"/>
    <col min="16140" max="16140" width="15" style="3" bestFit="1" customWidth="1"/>
    <col min="16141" max="16141" width="19.42578125" style="3" bestFit="1" customWidth="1"/>
    <col min="16142" max="16142" width="13.28515625" style="3" bestFit="1" customWidth="1"/>
    <col min="16143" max="16143" width="16" style="3" bestFit="1" customWidth="1"/>
    <col min="16144" max="16144" width="9.7109375" style="3" bestFit="1" customWidth="1"/>
    <col min="16145" max="16145" width="8.28515625" style="3" customWidth="1"/>
    <col min="16146" max="16146" width="13.85546875" style="3" bestFit="1" customWidth="1"/>
    <col min="16147" max="16147" width="9" style="3" bestFit="1" customWidth="1"/>
    <col min="16148" max="16148" width="16.5703125" style="3" bestFit="1" customWidth="1"/>
    <col min="16149" max="16149" width="18.85546875" style="3" customWidth="1"/>
    <col min="16150" max="16150" width="21.28515625" style="3" customWidth="1"/>
    <col min="16151" max="16151" width="17.5703125" style="3" customWidth="1"/>
    <col min="16152" max="16152" width="16.28515625" style="3" bestFit="1" customWidth="1"/>
    <col min="16153" max="16384" width="9.140625" style="3"/>
  </cols>
  <sheetData>
    <row r="1" spans="1:21" ht="15.75" x14ac:dyDescent="0.25">
      <c r="A1" s="1"/>
      <c r="B1" s="2" t="s">
        <v>0</v>
      </c>
      <c r="C1" s="1"/>
      <c r="D1" s="1"/>
      <c r="E1" s="1"/>
      <c r="F1" s="1"/>
      <c r="G1" s="1"/>
      <c r="J1" s="1"/>
      <c r="K1" s="1"/>
      <c r="R1" s="4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1"/>
      <c r="B3" s="2" t="s">
        <v>1</v>
      </c>
      <c r="C3" s="1"/>
      <c r="D3" s="1"/>
      <c r="F3" s="1"/>
      <c r="G3" s="1"/>
      <c r="H3" s="1"/>
      <c r="I3" s="1"/>
      <c r="J3" s="1"/>
      <c r="K3" s="1"/>
      <c r="U3" s="3" t="s">
        <v>2</v>
      </c>
    </row>
    <row r="4" spans="1:21" x14ac:dyDescent="0.2">
      <c r="A4" s="1"/>
      <c r="E4" s="1"/>
      <c r="F4" s="1"/>
      <c r="G4" s="1"/>
      <c r="H4" s="1"/>
      <c r="I4" s="1"/>
      <c r="J4" s="1"/>
      <c r="K4" s="1"/>
      <c r="U4" s="3" t="s">
        <v>3</v>
      </c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1" ht="15.75" x14ac:dyDescent="0.25">
      <c r="A6" s="1"/>
      <c r="B6" s="1" t="s">
        <v>4</v>
      </c>
      <c r="C6" s="5">
        <v>44655</v>
      </c>
      <c r="D6" s="1"/>
      <c r="E6" s="1"/>
      <c r="F6" s="1"/>
      <c r="G6" s="1"/>
      <c r="H6" s="1"/>
      <c r="I6" s="1"/>
      <c r="J6" s="1"/>
      <c r="K6" s="1"/>
    </row>
    <row r="7" spans="1:21" ht="15.75" x14ac:dyDescent="0.25">
      <c r="A7" s="1"/>
      <c r="B7" s="1" t="s">
        <v>5</v>
      </c>
      <c r="C7" s="6" t="s">
        <v>6</v>
      </c>
      <c r="D7" s="2"/>
      <c r="E7" s="1"/>
      <c r="F7" s="1"/>
      <c r="G7" s="7"/>
      <c r="H7" s="1"/>
      <c r="I7" s="1"/>
      <c r="J7" s="1"/>
      <c r="K7" s="1"/>
    </row>
    <row r="8" spans="1:21" x14ac:dyDescent="0.2">
      <c r="A8" s="1"/>
      <c r="B8" s="1" t="s">
        <v>7</v>
      </c>
      <c r="C8" s="8">
        <v>3125</v>
      </c>
      <c r="D8" s="1"/>
      <c r="E8" s="1"/>
      <c r="F8" s="1"/>
      <c r="G8" s="1"/>
      <c r="H8" s="1"/>
      <c r="I8" s="1"/>
      <c r="J8" s="1"/>
      <c r="K8" s="1"/>
    </row>
    <row r="9" spans="1:21" x14ac:dyDescent="0.2">
      <c r="A9" s="1"/>
      <c r="B9" s="1" t="s">
        <v>8</v>
      </c>
      <c r="C9" s="8" t="s">
        <v>88</v>
      </c>
      <c r="D9" s="1"/>
      <c r="E9" s="1"/>
      <c r="F9" s="1"/>
      <c r="G9" s="1"/>
      <c r="H9" s="1"/>
      <c r="I9" s="1"/>
      <c r="J9" s="1"/>
      <c r="K9" s="1"/>
    </row>
    <row r="10" spans="1:21" x14ac:dyDescent="0.2">
      <c r="A10" s="1"/>
      <c r="B10" s="1" t="s">
        <v>10</v>
      </c>
      <c r="C10" s="9">
        <v>300</v>
      </c>
      <c r="D10" s="1"/>
      <c r="E10" s="1"/>
      <c r="F10" s="1"/>
      <c r="G10" s="1"/>
      <c r="H10" s="1"/>
      <c r="I10" s="1"/>
    </row>
    <row r="11" spans="1:21" x14ac:dyDescent="0.2">
      <c r="A11" s="1"/>
      <c r="B11" s="1" t="s">
        <v>11</v>
      </c>
      <c r="C11" s="9" t="s">
        <v>2</v>
      </c>
      <c r="D11" s="1"/>
      <c r="E11" s="1"/>
      <c r="F11" s="1"/>
      <c r="G11" s="1"/>
      <c r="H11" s="1"/>
      <c r="I11" s="1"/>
    </row>
    <row r="12" spans="1:21" ht="15.75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21" ht="15.7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5" spans="1:21" ht="15.75" x14ac:dyDescent="0.25">
      <c r="B15" s="2" t="s">
        <v>12</v>
      </c>
      <c r="D15" s="1"/>
      <c r="E15" s="1"/>
      <c r="G15" s="37"/>
      <c r="H15" s="1"/>
      <c r="I15" s="1"/>
      <c r="J15" s="38"/>
      <c r="L15" s="1"/>
      <c r="M15" s="1"/>
      <c r="N15" s="1"/>
      <c r="O15" s="1"/>
    </row>
    <row r="16" spans="1:21" x14ac:dyDescent="0.2">
      <c r="A16" s="1"/>
      <c r="D16" s="1"/>
      <c r="E16" s="1"/>
      <c r="G16" s="1"/>
      <c r="H16" s="1"/>
      <c r="I16" s="1"/>
      <c r="L16" s="1"/>
      <c r="M16" s="1"/>
      <c r="N16" s="1"/>
      <c r="O16" s="1"/>
    </row>
    <row r="17" spans="1:30" x14ac:dyDescent="0.2">
      <c r="A17" s="1"/>
      <c r="B17" s="39" t="s">
        <v>13</v>
      </c>
      <c r="C17" s="173" t="s">
        <v>89</v>
      </c>
      <c r="D17" s="174"/>
      <c r="E17" s="1"/>
      <c r="G17" s="1"/>
      <c r="H17" s="1"/>
      <c r="I17" s="1"/>
      <c r="L17" s="1"/>
      <c r="M17" s="1"/>
      <c r="N17" s="1"/>
      <c r="O17" s="1"/>
    </row>
    <row r="18" spans="1:30" x14ac:dyDescent="0.2">
      <c r="A18" s="1"/>
      <c r="B18" s="40" t="s">
        <v>15</v>
      </c>
      <c r="C18" s="175">
        <v>658834</v>
      </c>
      <c r="D18" s="176"/>
      <c r="E18" s="1"/>
      <c r="G18" s="1"/>
      <c r="H18" s="1"/>
      <c r="I18" s="1" t="s">
        <v>16</v>
      </c>
      <c r="L18" s="1"/>
      <c r="M18" s="1"/>
      <c r="N18" s="1"/>
      <c r="O18" s="1"/>
    </row>
    <row r="19" spans="1:30" ht="21" x14ac:dyDescent="0.35">
      <c r="A19" s="1"/>
      <c r="I19" s="95" t="s">
        <v>17</v>
      </c>
    </row>
    <row r="20" spans="1:30" ht="15.75" x14ac:dyDescent="0.25">
      <c r="B20" s="41" t="s">
        <v>18</v>
      </c>
      <c r="C20" s="177" t="s">
        <v>19</v>
      </c>
      <c r="D20" s="179" t="s">
        <v>20</v>
      </c>
      <c r="E20" s="179" t="s">
        <v>21</v>
      </c>
      <c r="F20" s="177" t="s">
        <v>22</v>
      </c>
      <c r="G20" s="181" t="s">
        <v>23</v>
      </c>
      <c r="I20" s="19" t="s">
        <v>18</v>
      </c>
      <c r="J20" s="177" t="s">
        <v>24</v>
      </c>
      <c r="K20" s="101" t="s">
        <v>25</v>
      </c>
      <c r="L20" s="183" t="s">
        <v>26</v>
      </c>
      <c r="M20" s="177" t="s">
        <v>27</v>
      </c>
      <c r="N20" s="101" t="s">
        <v>28</v>
      </c>
      <c r="O20" s="42" t="s">
        <v>29</v>
      </c>
      <c r="P20" s="43"/>
      <c r="R20" s="7"/>
      <c r="S20" s="11" t="s">
        <v>30</v>
      </c>
    </row>
    <row r="21" spans="1:30" x14ac:dyDescent="0.2">
      <c r="B21" s="44" t="str">
        <f>+"("&amp;$C$11&amp;")"</f>
        <v>(ug/kg)</v>
      </c>
      <c r="C21" s="178"/>
      <c r="D21" s="180"/>
      <c r="E21" s="180"/>
      <c r="F21" s="178"/>
      <c r="G21" s="182"/>
      <c r="I21" s="23" t="str">
        <f>+"("&amp;$C$11&amp;")"</f>
        <v>(ug/kg)</v>
      </c>
      <c r="J21" s="178"/>
      <c r="K21" s="45" t="s">
        <v>31</v>
      </c>
      <c r="L21" s="178"/>
      <c r="M21" s="184"/>
      <c r="N21" s="46" t="s">
        <v>31</v>
      </c>
      <c r="O21" s="45" t="s">
        <v>32</v>
      </c>
      <c r="P21" s="47" t="s">
        <v>33</v>
      </c>
      <c r="R21" s="7"/>
      <c r="S21" s="47"/>
      <c r="U21" s="48" t="s">
        <v>34</v>
      </c>
      <c r="V21" s="48" t="s">
        <v>35</v>
      </c>
      <c r="W21" s="3" t="s">
        <v>36</v>
      </c>
      <c r="X21" s="3" t="s">
        <v>37</v>
      </c>
      <c r="Y21" s="3" t="s">
        <v>38</v>
      </c>
      <c r="Z21" s="3" t="s">
        <v>39</v>
      </c>
      <c r="AA21" s="3" t="s">
        <v>40</v>
      </c>
      <c r="AB21" s="3" t="s">
        <v>41</v>
      </c>
      <c r="AC21" s="3" t="s">
        <v>42</v>
      </c>
      <c r="AD21" s="3" t="s">
        <v>43</v>
      </c>
    </row>
    <row r="22" spans="1:30" x14ac:dyDescent="0.2">
      <c r="B22" s="49">
        <v>0</v>
      </c>
      <c r="C22" s="14">
        <v>4.17</v>
      </c>
      <c r="D22" s="50">
        <v>3778000</v>
      </c>
      <c r="E22" s="15">
        <v>2721000</v>
      </c>
      <c r="F22" s="14">
        <v>4.17</v>
      </c>
      <c r="G22" s="16">
        <v>3661000</v>
      </c>
      <c r="I22" s="49">
        <f>+B22</f>
        <v>0</v>
      </c>
      <c r="J22" s="51">
        <f t="shared" ref="J22:J30" si="0">+IF(B22="","",(IF(F22="","",(C22/F22))))</f>
        <v>1</v>
      </c>
      <c r="K22" s="52">
        <f t="shared" ref="K22:K30" si="1">+IF(J22="","",((((J22-(AVERAGE(J$24:J$30)))/(AVERAGE(J$24:J$30))))))</f>
        <v>-9.65256591548429E-4</v>
      </c>
      <c r="L22" s="12">
        <f t="shared" ref="L22:L23" si="2">+IF(B22="","",(IF(G22="","",IF(I22="","",((D22)/(G22))))))</f>
        <v>1.0319584812892653</v>
      </c>
      <c r="M22" s="13">
        <f>IF(I22="","",IF(OR(B22="",E22="",G22=""),"",E22/D22))</f>
        <v>0.72022233986236106</v>
      </c>
      <c r="N22" s="53">
        <f t="shared" ref="N22:N30" si="3">+IF(M22="","",((((M22-(AVERAGE(M$24:M$30))))/(AVERAGE(M$24:M$30)))))</f>
        <v>-4.2280344961943689E-2</v>
      </c>
      <c r="O22" s="54"/>
      <c r="P22" s="11"/>
      <c r="R22" s="19" t="s">
        <v>44</v>
      </c>
      <c r="S22" s="20">
        <f>IF(COUNT(L22:L30)&gt;0,SLOPE(L22:L30,I22:I30),"")</f>
        <v>1.4723301046988737E-2</v>
      </c>
      <c r="U22" s="48">
        <f t="shared" ref="U22:U30" si="4">IF(N22="","",(ABS(N22)))</f>
        <v>4.2280344961943689E-2</v>
      </c>
      <c r="V22" s="48">
        <f t="shared" ref="V22:V30" si="5">IF(K22="","",(ABS(K22)))</f>
        <v>9.65256591548429E-4</v>
      </c>
      <c r="W22" s="3">
        <f>IF(I22="","",+$S$22*I22+$S$23)</f>
        <v>0.99498872908155289</v>
      </c>
      <c r="X22" s="3">
        <f>IF(I22="","",(L22-W22)^2)</f>
        <v>1.3667625782996537E-3</v>
      </c>
      <c r="Y22" s="3">
        <f>IF(I22="","",(I22-AVERAGE($I$22:$I$30))^2)</f>
        <v>11025</v>
      </c>
      <c r="Z22" s="92">
        <f>+AVERAGE(L22:L30)</f>
        <v>2.5409353390153702</v>
      </c>
      <c r="AA22" s="3">
        <f>+SQRT(X32/(COUNT(I22:I30)-2))</f>
        <v>3.9807847187763222E-2</v>
      </c>
      <c r="AB22" s="91">
        <f>(AA22/S22)*SQRT(1/(COUNT(I22:I30))+((Z22^2)/(S22^2*Y32)))</f>
        <v>2.2176449886780474</v>
      </c>
      <c r="AC22" s="3">
        <f>+_xlfn.T.INV(0.95,(COUNT(I22:I30)-2))</f>
        <v>2.3533634348018233</v>
      </c>
      <c r="AD22" s="3">
        <f>+AC22*AB22</f>
        <v>5.2189246277264205</v>
      </c>
    </row>
    <row r="23" spans="1:30" x14ac:dyDescent="0.2">
      <c r="B23" s="55">
        <v>0</v>
      </c>
      <c r="C23" s="14">
        <v>4.1500000000000004</v>
      </c>
      <c r="D23" s="50">
        <v>3226000</v>
      </c>
      <c r="E23" s="15">
        <v>2440000</v>
      </c>
      <c r="F23" s="14">
        <v>4.1500000000000004</v>
      </c>
      <c r="G23" s="16">
        <v>3235000</v>
      </c>
      <c r="I23" s="55">
        <f t="shared" ref="I23" si="6">+B23</f>
        <v>0</v>
      </c>
      <c r="J23" s="56">
        <f t="shared" si="0"/>
        <v>1</v>
      </c>
      <c r="K23" s="52">
        <f t="shared" si="1"/>
        <v>-9.65256591548429E-4</v>
      </c>
      <c r="L23" s="17">
        <f t="shared" si="2"/>
        <v>0.9972179289026275</v>
      </c>
      <c r="M23" s="18">
        <f t="shared" ref="M23:M30" si="7">IF(I23="","",IF(OR(B23="",E23="",G23=""),"",E23/D23))</f>
        <v>0.75635461872287668</v>
      </c>
      <c r="N23" s="53">
        <f t="shared" si="3"/>
        <v>5.7667534558102319E-3</v>
      </c>
      <c r="O23" s="54"/>
      <c r="P23" s="57"/>
      <c r="R23" s="21" t="s">
        <v>45</v>
      </c>
      <c r="S23" s="22">
        <f>IF(S22="","",INTERCEPT(L22:L30,I22:I30))</f>
        <v>0.99498872908155289</v>
      </c>
      <c r="U23" s="48">
        <f t="shared" si="4"/>
        <v>5.7667534558102319E-3</v>
      </c>
      <c r="V23" s="48">
        <f t="shared" si="5"/>
        <v>9.65256591548429E-4</v>
      </c>
      <c r="W23" s="3">
        <f t="shared" ref="W23:W30" si="8">IF(I23="","",+$S$22*I23+$S$23)</f>
        <v>0.99498872908155289</v>
      </c>
      <c r="X23" s="3">
        <f t="shared" ref="X23:X30" si="9">IF(I23="","",(L23-W23)^2)</f>
        <v>4.9693318422790831E-6</v>
      </c>
      <c r="Y23" s="3">
        <f t="shared" ref="Y23:Y30" si="10">IF(I23="","",(I23-AVERAGE($I$22:$I$30))^2)</f>
        <v>11025</v>
      </c>
    </row>
    <row r="24" spans="1:30" x14ac:dyDescent="0.2">
      <c r="B24" s="89">
        <v>75</v>
      </c>
      <c r="C24" s="14">
        <v>4.1500000000000004</v>
      </c>
      <c r="D24" s="50">
        <v>7114000</v>
      </c>
      <c r="E24" s="15">
        <v>5243000</v>
      </c>
      <c r="F24" s="14">
        <v>4.1500000000000004</v>
      </c>
      <c r="G24" s="16">
        <v>3483000</v>
      </c>
      <c r="I24" s="93">
        <v>75</v>
      </c>
      <c r="J24" s="56">
        <f t="shared" si="0"/>
        <v>1</v>
      </c>
      <c r="K24" s="52">
        <f t="shared" si="1"/>
        <v>-9.65256591548429E-4</v>
      </c>
      <c r="L24" s="17">
        <f>+IF(B24="","",(IF(G24="","",IF(I24="","",((D24)/(G24))))))</f>
        <v>2.0424921045076085</v>
      </c>
      <c r="M24" s="18">
        <f t="shared" si="7"/>
        <v>0.7369974697779027</v>
      </c>
      <c r="N24" s="53">
        <f t="shared" si="3"/>
        <v>-1.9973522822822862E-2</v>
      </c>
      <c r="O24" s="58">
        <f t="shared" ref="O24:O30" si="11">IF(L24="","",(L24-$S$23)/$S$22)</f>
        <v>71.145959189654334</v>
      </c>
      <c r="P24" s="102">
        <f t="shared" ref="P24:P30" si="12">IF(O24="","",+O24/B24)</f>
        <v>0.94861278919539116</v>
      </c>
      <c r="R24" s="23" t="s">
        <v>46</v>
      </c>
      <c r="S24" s="24">
        <f>IF(S22="","",CORREL(L22:L30,I22:I30))</f>
        <v>0.99982599395260574</v>
      </c>
      <c r="U24" s="48">
        <f t="shared" si="4"/>
        <v>1.9973522822822862E-2</v>
      </c>
      <c r="V24" s="48">
        <f t="shared" si="5"/>
        <v>9.65256591548429E-4</v>
      </c>
      <c r="W24" s="3">
        <f t="shared" si="8"/>
        <v>2.0992363076057083</v>
      </c>
      <c r="X24" s="3">
        <f t="shared" si="9"/>
        <v>3.219904585238399E-3</v>
      </c>
      <c r="Y24" s="3">
        <f t="shared" si="10"/>
        <v>900</v>
      </c>
    </row>
    <row r="25" spans="1:30" x14ac:dyDescent="0.2">
      <c r="B25" s="89">
        <v>150</v>
      </c>
      <c r="C25" s="14">
        <v>4.1500000000000004</v>
      </c>
      <c r="D25" s="50">
        <v>10950000</v>
      </c>
      <c r="E25" s="15">
        <v>8329000</v>
      </c>
      <c r="F25" s="14">
        <v>4.1500000000000004</v>
      </c>
      <c r="G25" s="16">
        <v>3411000</v>
      </c>
      <c r="I25" s="93">
        <v>150</v>
      </c>
      <c r="J25" s="56">
        <f t="shared" si="0"/>
        <v>1</v>
      </c>
      <c r="K25" s="52">
        <f t="shared" si="1"/>
        <v>-9.65256591548429E-4</v>
      </c>
      <c r="L25" s="17">
        <f t="shared" ref="L25:L30" si="13">+IF(B25="","",(IF(G25="","",IF(I25="","",((D25)/(G25))))))</f>
        <v>3.2102022867194373</v>
      </c>
      <c r="M25" s="18">
        <f t="shared" si="7"/>
        <v>0.7606392694063927</v>
      </c>
      <c r="N25" s="53">
        <f t="shared" si="3"/>
        <v>1.1464291490189644E-2</v>
      </c>
      <c r="O25" s="58">
        <f t="shared" si="11"/>
        <v>150.45631075314785</v>
      </c>
      <c r="P25" s="102">
        <f t="shared" si="12"/>
        <v>1.0030420716876522</v>
      </c>
      <c r="Q25" s="7"/>
      <c r="R25" s="30"/>
      <c r="U25" s="48">
        <f t="shared" si="4"/>
        <v>1.1464291490189644E-2</v>
      </c>
      <c r="V25" s="48">
        <f t="shared" si="5"/>
        <v>9.65256591548429E-4</v>
      </c>
      <c r="W25" s="3">
        <f t="shared" si="8"/>
        <v>3.2034838861298631</v>
      </c>
      <c r="X25" s="3">
        <f t="shared" si="9"/>
        <v>4.5136906481990696E-5</v>
      </c>
      <c r="Y25" s="3">
        <f t="shared" si="10"/>
        <v>2025</v>
      </c>
    </row>
    <row r="26" spans="1:30" x14ac:dyDescent="0.2">
      <c r="B26" s="89">
        <v>300</v>
      </c>
      <c r="C26" s="14">
        <v>4.1500000000000004</v>
      </c>
      <c r="D26" s="50">
        <v>16930000</v>
      </c>
      <c r="E26" s="15">
        <v>12840000</v>
      </c>
      <c r="F26" s="14">
        <v>4.1500000000000004</v>
      </c>
      <c r="G26" s="16">
        <v>3122000</v>
      </c>
      <c r="I26" s="93">
        <v>300</v>
      </c>
      <c r="J26" s="56">
        <f t="shared" si="0"/>
        <v>1</v>
      </c>
      <c r="K26" s="52">
        <f t="shared" si="1"/>
        <v>-9.65256591548429E-4</v>
      </c>
      <c r="L26" s="17">
        <f t="shared" si="13"/>
        <v>5.4228058936579115</v>
      </c>
      <c r="M26" s="18">
        <f t="shared" si="7"/>
        <v>0.75841701122268168</v>
      </c>
      <c r="N26" s="53">
        <f t="shared" si="3"/>
        <v>8.5092313326333661E-3</v>
      </c>
      <c r="O26" s="58">
        <f t="shared" si="11"/>
        <v>300.7353548260125</v>
      </c>
      <c r="P26" s="102">
        <f t="shared" si="12"/>
        <v>1.0024511827533751</v>
      </c>
      <c r="Q26" s="7"/>
      <c r="R26" s="30"/>
      <c r="U26" s="48">
        <f t="shared" si="4"/>
        <v>8.5092313326333661E-3</v>
      </c>
      <c r="V26" s="48">
        <f t="shared" si="5"/>
        <v>9.65256591548429E-4</v>
      </c>
      <c r="W26" s="3">
        <f t="shared" si="8"/>
        <v>5.4119790431781736</v>
      </c>
      <c r="X26" s="3">
        <f t="shared" si="9"/>
        <v>1.1722069131060233E-4</v>
      </c>
      <c r="Y26" s="3">
        <f t="shared" si="10"/>
        <v>38025</v>
      </c>
    </row>
    <row r="27" spans="1:30" x14ac:dyDescent="0.2">
      <c r="B27" s="89">
        <v>600</v>
      </c>
      <c r="C27" s="14">
        <v>4.16</v>
      </c>
      <c r="D27" s="50">
        <v>32950000</v>
      </c>
      <c r="E27" s="15">
        <v>24310000</v>
      </c>
      <c r="F27" s="14">
        <v>4.1500000000000004</v>
      </c>
      <c r="G27" s="16">
        <v>3042000</v>
      </c>
      <c r="I27" s="93"/>
      <c r="J27" s="56">
        <f t="shared" si="0"/>
        <v>1.0024096385542167</v>
      </c>
      <c r="K27" s="52">
        <f t="shared" si="1"/>
        <v>1.4420560431705838E-3</v>
      </c>
      <c r="L27" s="17" t="str">
        <f t="shared" si="13"/>
        <v/>
      </c>
      <c r="M27" s="18" t="str">
        <f t="shared" si="7"/>
        <v/>
      </c>
      <c r="N27" s="53" t="str">
        <f t="shared" si="3"/>
        <v/>
      </c>
      <c r="O27" s="58" t="str">
        <f t="shared" si="11"/>
        <v/>
      </c>
      <c r="P27" s="102" t="str">
        <f t="shared" si="12"/>
        <v/>
      </c>
      <c r="Q27" s="7"/>
      <c r="R27" s="30"/>
      <c r="U27" s="48" t="str">
        <f t="shared" si="4"/>
        <v/>
      </c>
      <c r="V27" s="48">
        <f t="shared" si="5"/>
        <v>1.4420560431705838E-3</v>
      </c>
      <c r="W27" s="3" t="str">
        <f t="shared" si="8"/>
        <v/>
      </c>
      <c r="X27" s="3" t="str">
        <f t="shared" si="9"/>
        <v/>
      </c>
      <c r="Y27" s="3" t="str">
        <f t="shared" si="10"/>
        <v/>
      </c>
    </row>
    <row r="28" spans="1:30" x14ac:dyDescent="0.2">
      <c r="B28" s="89">
        <v>1500</v>
      </c>
      <c r="C28" s="14">
        <v>4.1399999999999997</v>
      </c>
      <c r="D28" s="50">
        <v>70280000</v>
      </c>
      <c r="E28" s="15">
        <v>52320000</v>
      </c>
      <c r="F28" s="14">
        <v>4.13</v>
      </c>
      <c r="G28" s="16">
        <v>2783000</v>
      </c>
      <c r="I28" s="93"/>
      <c r="J28" s="56">
        <f t="shared" si="0"/>
        <v>1.0024213075060533</v>
      </c>
      <c r="K28" s="52">
        <f t="shared" si="1"/>
        <v>1.4537137314744814E-3</v>
      </c>
      <c r="L28" s="17" t="str">
        <f t="shared" si="13"/>
        <v/>
      </c>
      <c r="M28" s="18" t="str">
        <f t="shared" si="7"/>
        <v/>
      </c>
      <c r="N28" s="53" t="str">
        <f t="shared" si="3"/>
        <v/>
      </c>
      <c r="O28" s="58" t="str">
        <f t="shared" si="11"/>
        <v/>
      </c>
      <c r="P28" s="102" t="str">
        <f t="shared" si="12"/>
        <v/>
      </c>
      <c r="U28" s="48" t="str">
        <f t="shared" si="4"/>
        <v/>
      </c>
      <c r="V28" s="48">
        <f t="shared" si="5"/>
        <v>1.4537137314744814E-3</v>
      </c>
      <c r="W28" s="3" t="str">
        <f t="shared" si="8"/>
        <v/>
      </c>
      <c r="X28" s="3" t="str">
        <f t="shared" si="9"/>
        <v/>
      </c>
      <c r="Y28" s="3" t="str">
        <f t="shared" si="10"/>
        <v/>
      </c>
    </row>
    <row r="29" spans="1:30" x14ac:dyDescent="0.2">
      <c r="B29" s="89"/>
      <c r="C29" s="14"/>
      <c r="D29" s="50"/>
      <c r="E29" s="15"/>
      <c r="F29" s="14"/>
      <c r="G29" s="16"/>
      <c r="I29" s="93"/>
      <c r="J29" s="56" t="str">
        <f t="shared" si="0"/>
        <v/>
      </c>
      <c r="K29" s="52" t="str">
        <f t="shared" si="1"/>
        <v/>
      </c>
      <c r="L29" s="17" t="str">
        <f t="shared" si="13"/>
        <v/>
      </c>
      <c r="M29" s="18" t="str">
        <f t="shared" si="7"/>
        <v/>
      </c>
      <c r="N29" s="53" t="str">
        <f t="shared" si="3"/>
        <v/>
      </c>
      <c r="O29" s="58" t="str">
        <f t="shared" si="11"/>
        <v/>
      </c>
      <c r="P29" s="102" t="str">
        <f t="shared" si="12"/>
        <v/>
      </c>
      <c r="U29" s="48" t="str">
        <f t="shared" si="4"/>
        <v/>
      </c>
      <c r="V29" s="48" t="str">
        <f t="shared" si="5"/>
        <v/>
      </c>
      <c r="W29" s="3" t="str">
        <f t="shared" si="8"/>
        <v/>
      </c>
      <c r="X29" s="3" t="str">
        <f t="shared" si="9"/>
        <v/>
      </c>
      <c r="Y29" s="3" t="str">
        <f t="shared" si="10"/>
        <v/>
      </c>
    </row>
    <row r="30" spans="1:30" x14ac:dyDescent="0.2">
      <c r="B30" s="90"/>
      <c r="C30" s="25"/>
      <c r="D30" s="59"/>
      <c r="E30" s="26"/>
      <c r="F30" s="25"/>
      <c r="G30" s="27"/>
      <c r="I30" s="94"/>
      <c r="J30" s="60" t="str">
        <f t="shared" si="0"/>
        <v/>
      </c>
      <c r="K30" s="61" t="str">
        <f t="shared" si="1"/>
        <v/>
      </c>
      <c r="L30" s="28" t="str">
        <f t="shared" si="13"/>
        <v/>
      </c>
      <c r="M30" s="29" t="str">
        <f t="shared" si="7"/>
        <v/>
      </c>
      <c r="N30" s="62" t="str">
        <f t="shared" si="3"/>
        <v/>
      </c>
      <c r="O30" s="63" t="str">
        <f t="shared" si="11"/>
        <v/>
      </c>
      <c r="P30" s="103" t="str">
        <f t="shared" si="12"/>
        <v/>
      </c>
      <c r="R30" s="64"/>
      <c r="U30" s="48" t="str">
        <f t="shared" si="4"/>
        <v/>
      </c>
      <c r="V30" s="48" t="str">
        <f t="shared" si="5"/>
        <v/>
      </c>
      <c r="W30" s="3" t="str">
        <f t="shared" si="8"/>
        <v/>
      </c>
      <c r="X30" s="3" t="str">
        <f t="shared" si="9"/>
        <v/>
      </c>
      <c r="Y30" s="3" t="str">
        <f t="shared" si="10"/>
        <v/>
      </c>
    </row>
    <row r="31" spans="1:30" x14ac:dyDescent="0.2">
      <c r="B31" s="65"/>
      <c r="C31" s="66"/>
      <c r="D31" s="67"/>
      <c r="E31" s="67"/>
      <c r="F31" s="66"/>
      <c r="G31" s="67"/>
      <c r="J31" s="30"/>
      <c r="K31" s="30"/>
      <c r="L31" s="64"/>
      <c r="M31" s="64"/>
      <c r="R31" s="64"/>
    </row>
    <row r="32" spans="1:30" ht="15.75" x14ac:dyDescent="0.25">
      <c r="A32" s="31"/>
      <c r="B32" s="32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X32" s="3">
        <f>+SUM(X22:X30)</f>
        <v>4.7539940931729243E-3</v>
      </c>
      <c r="Y32" s="3">
        <f>+SUM(Y22:Y30)</f>
        <v>63000</v>
      </c>
    </row>
    <row r="33" spans="1:22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22" x14ac:dyDescent="0.2">
      <c r="A34" s="31"/>
      <c r="B34" s="188" t="s">
        <v>48</v>
      </c>
      <c r="C34" s="189"/>
      <c r="D34" s="68" t="s">
        <v>30</v>
      </c>
      <c r="E34" s="190" t="s">
        <v>49</v>
      </c>
      <c r="F34" s="189"/>
      <c r="G34" s="69" t="s">
        <v>50</v>
      </c>
      <c r="H34" s="31"/>
      <c r="I34" s="31"/>
      <c r="J34" s="31"/>
      <c r="K34" s="33" t="s">
        <v>51</v>
      </c>
      <c r="L34" s="31" t="str">
        <f>IF(C17="","",IF(COUNTIF(G35:G37,"NO")&gt;0,"NO",IF(COUNT(N24:N30)&lt;3,"NO","YES")))</f>
        <v>YES</v>
      </c>
      <c r="M34" s="31"/>
      <c r="N34" s="31"/>
      <c r="O34" s="31"/>
      <c r="P34" s="31"/>
      <c r="Q34" s="31"/>
      <c r="R34" s="31"/>
      <c r="S34" s="31"/>
      <c r="U34" s="3" t="s">
        <v>52</v>
      </c>
      <c r="V34" s="91">
        <f>(2^(1-(0.5*LOG(V35)))/100)</f>
        <v>0.24002179599255954</v>
      </c>
    </row>
    <row r="35" spans="1:22" x14ac:dyDescent="0.2">
      <c r="A35" s="31"/>
      <c r="B35" s="185" t="s">
        <v>53</v>
      </c>
      <c r="C35" s="186"/>
      <c r="D35" s="70">
        <f>IF(S24="","",+S24)</f>
        <v>0.99982599395260574</v>
      </c>
      <c r="E35" s="187" t="s">
        <v>54</v>
      </c>
      <c r="F35" s="186"/>
      <c r="G35" s="69" t="str">
        <f>IF(D35="","",IF(D35&lt;0.99,"NO","YES"))</f>
        <v>YES</v>
      </c>
      <c r="H35" s="31"/>
      <c r="I35" s="31"/>
      <c r="J35" s="31"/>
      <c r="K35" s="33" t="s">
        <v>55</v>
      </c>
      <c r="L35" s="35"/>
      <c r="M35" s="31"/>
      <c r="N35" s="31"/>
      <c r="O35" s="31"/>
      <c r="P35" s="31"/>
      <c r="Q35" s="31"/>
      <c r="R35" s="31"/>
      <c r="S35" s="31"/>
      <c r="U35" s="3" t="s">
        <v>56</v>
      </c>
      <c r="V35" s="100">
        <f>+IF(C11="mg/kg",D48/1000000,IF(C11="ug/kg",D48/1000000000))</f>
        <v>6.7579187975990725E-8</v>
      </c>
    </row>
    <row r="36" spans="1:22" ht="15.75" x14ac:dyDescent="0.25">
      <c r="A36" s="31"/>
      <c r="B36" s="196" t="s">
        <v>57</v>
      </c>
      <c r="C36" s="197"/>
      <c r="D36" s="71">
        <f>IF(S22="","",+MAX(U24:U30))</f>
        <v>1.9973522822822862E-2</v>
      </c>
      <c r="E36" s="72" t="s">
        <v>58</v>
      </c>
      <c r="F36" s="73">
        <f>IF(S22="","",40%)</f>
        <v>0.4</v>
      </c>
      <c r="G36" s="74" t="str">
        <f>+IF(D36="","",(IF(D36&gt;F36,"NO","YES")))</f>
        <v>YES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2" ht="15.75" x14ac:dyDescent="0.25">
      <c r="A37" s="31"/>
      <c r="B37" s="198" t="s">
        <v>59</v>
      </c>
      <c r="C37" s="199"/>
      <c r="D37" s="76">
        <f>IF(S22="","",+MAX(V24:V30))</f>
        <v>1.4537137314744814E-3</v>
      </c>
      <c r="E37" s="82" t="s">
        <v>58</v>
      </c>
      <c r="F37" s="83">
        <v>0.01</v>
      </c>
      <c r="G37" s="34" t="str">
        <f>+IF(D37="","",IF(D37&gt;1%,"NO","YES"))</f>
        <v>YES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22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3" t="s">
        <v>60</v>
      </c>
      <c r="L38" s="31"/>
      <c r="M38" s="31"/>
      <c r="N38" s="31"/>
      <c r="O38" s="31"/>
      <c r="P38" s="31"/>
      <c r="Q38" s="31"/>
      <c r="R38" s="31"/>
      <c r="S38" s="31"/>
    </row>
    <row r="39" spans="1:22" x14ac:dyDescent="0.2">
      <c r="A39" s="31"/>
      <c r="B39" s="77"/>
      <c r="C39" s="77"/>
      <c r="D39" s="78"/>
      <c r="E39" s="72"/>
      <c r="F39" s="75"/>
      <c r="G39" s="77"/>
      <c r="H39" s="31"/>
      <c r="I39" s="31"/>
      <c r="J39" s="31"/>
      <c r="K39" s="33" t="s">
        <v>61</v>
      </c>
      <c r="L39" s="31"/>
      <c r="M39" s="31"/>
      <c r="N39" s="31"/>
      <c r="O39" s="31"/>
      <c r="P39" s="31"/>
      <c r="Q39" s="31"/>
      <c r="R39" s="31"/>
      <c r="S39" s="31"/>
    </row>
    <row r="40" spans="1:22" ht="15.75" x14ac:dyDescent="0.25">
      <c r="A40" s="31"/>
      <c r="B40" s="79" t="s">
        <v>62</v>
      </c>
      <c r="C40" s="80"/>
      <c r="D40" s="81"/>
      <c r="E40" s="82"/>
      <c r="F40" s="83"/>
      <c r="G40" s="8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22" ht="15.75" x14ac:dyDescent="0.25">
      <c r="A41" s="31"/>
      <c r="B41" s="185" t="s">
        <v>63</v>
      </c>
      <c r="C41" s="200"/>
      <c r="D41" s="84">
        <f>IF(M22="","",IF(M23="","",MAX(U22,U23)))</f>
        <v>4.2280344961943689E-2</v>
      </c>
      <c r="E41" s="85" t="s">
        <v>58</v>
      </c>
      <c r="F41" s="73">
        <f>IF(S22="","",40%)</f>
        <v>0.4</v>
      </c>
      <c r="G41" s="69" t="str">
        <f>IF(F41="","",IF(D41="","",IF(D41&lt;F41,"YES","NO")))</f>
        <v>YES</v>
      </c>
      <c r="H41" s="31"/>
      <c r="I41" s="31"/>
      <c r="J41" s="31"/>
      <c r="K41" s="31"/>
      <c r="L41" s="31"/>
      <c r="M41" s="31"/>
      <c r="N41" s="31"/>
      <c r="O41" s="31"/>
      <c r="P41" s="33"/>
      <c r="Q41" s="31"/>
      <c r="R41" s="31"/>
      <c r="S41" s="31"/>
    </row>
    <row r="42" spans="1:22" ht="15.75" x14ac:dyDescent="0.25">
      <c r="A42" s="31"/>
      <c r="B42" s="196" t="s">
        <v>64</v>
      </c>
      <c r="C42" s="202"/>
      <c r="D42" s="71">
        <f>IF(J23="","",IF(J22="","",MAX(V22,V23)))</f>
        <v>9.65256591548429E-4</v>
      </c>
      <c r="E42" s="72" t="s">
        <v>58</v>
      </c>
      <c r="F42" s="75">
        <v>0.01</v>
      </c>
      <c r="G42" s="74" t="str">
        <f>IF(F42="","",IF(D42="","",IF(D42&lt;=F42,"YES","NO")))</f>
        <v>YES</v>
      </c>
      <c r="H42" s="31"/>
      <c r="I42" s="31"/>
      <c r="J42" s="31"/>
      <c r="K42" s="31"/>
      <c r="L42" s="31"/>
      <c r="M42" s="31"/>
      <c r="N42" s="31"/>
      <c r="O42" s="31"/>
      <c r="P42" s="33"/>
      <c r="Q42" s="31"/>
      <c r="R42" s="31"/>
      <c r="S42" s="31"/>
    </row>
    <row r="43" spans="1:22" ht="19.5" x14ac:dyDescent="0.35">
      <c r="A43" s="31"/>
      <c r="B43" s="196" t="s">
        <v>65</v>
      </c>
      <c r="C43" s="203"/>
      <c r="D43" s="104">
        <f>AB22</f>
        <v>2.2176449886780474</v>
      </c>
      <c r="E43" s="72"/>
      <c r="F43" s="75"/>
      <c r="G43" s="74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1"/>
      <c r="S43" s="31"/>
    </row>
    <row r="44" spans="1:22" ht="21" x14ac:dyDescent="0.35">
      <c r="A44" s="31"/>
      <c r="B44" s="196" t="s">
        <v>66</v>
      </c>
      <c r="C44" s="203"/>
      <c r="D44" s="71">
        <f>IF(D48="","",D43/D48)</f>
        <v>3.2815502155277808E-2</v>
      </c>
      <c r="E44" s="72" t="s">
        <v>67</v>
      </c>
      <c r="F44" s="75">
        <f>+IF(D48="","",IF(V35&lt;0.00000012,14.7%,V34*2/3))</f>
        <v>0.14699999999999999</v>
      </c>
      <c r="G44" s="74" t="str">
        <f>IF(F44="","",IF(D44="","",IF(D44&lt;F44,"YES","NO")))</f>
        <v>YES</v>
      </c>
      <c r="H44" s="98" t="str">
        <f>+IF(G44="","",IF(G44="YES","→  CCα_max= ",""))</f>
        <v xml:space="preserve">→  CCα_max= </v>
      </c>
      <c r="I44" s="31"/>
      <c r="J44" s="99">
        <f>+IF(G44="","",IF(G44="NO","",IF(G44="YES",IF(AND(C11="ug/kg",C10&lt;120),C10+1.64*0.22*C10,IF(OR(C10&gt;=120,C11="mg/kg"),C10+1.64*C10*V34,"")))))</f>
        <v>418.09072362833928</v>
      </c>
      <c r="K44" s="31"/>
      <c r="L44" s="31"/>
      <c r="M44" s="31"/>
      <c r="N44" s="31"/>
      <c r="O44" s="31"/>
      <c r="P44" s="33"/>
      <c r="Q44" s="31"/>
      <c r="R44" s="31"/>
      <c r="S44" s="31"/>
    </row>
    <row r="45" spans="1:22" x14ac:dyDescent="0.2">
      <c r="A45" s="31"/>
      <c r="B45" s="196" t="s">
        <v>68</v>
      </c>
      <c r="C45" s="203"/>
      <c r="D45" s="96">
        <f>IF(D44="","",D48-AD22)</f>
        <v>62.360263348264297</v>
      </c>
      <c r="E45" s="72"/>
      <c r="F45" s="73"/>
      <c r="G45" s="74"/>
      <c r="H45" s="31"/>
      <c r="I45" s="31"/>
      <c r="J45" s="31"/>
      <c r="K45" s="33" t="s">
        <v>69</v>
      </c>
      <c r="L45" s="31"/>
      <c r="M45" s="31"/>
      <c r="N45" s="31"/>
      <c r="O45" s="31"/>
      <c r="P45" s="33"/>
      <c r="Q45" s="31"/>
      <c r="R45" s="31"/>
      <c r="S45" s="31"/>
    </row>
    <row r="46" spans="1:22" x14ac:dyDescent="0.2">
      <c r="A46" s="31"/>
      <c r="B46" s="198" t="s">
        <v>70</v>
      </c>
      <c r="C46" s="199"/>
      <c r="D46" s="97">
        <f>IF(D44="","",D48+AD22)</f>
        <v>72.798112603717144</v>
      </c>
      <c r="E46" s="82"/>
      <c r="F46" s="83"/>
      <c r="G46" s="34" t="str">
        <f>IF(F46="","",IF(D46="","",IF(D46&lt;F46,"JA","NEE")))</f>
        <v/>
      </c>
      <c r="H46" s="31"/>
      <c r="I46" s="31"/>
      <c r="J46" s="31"/>
      <c r="K46" s="33" t="s">
        <v>61</v>
      </c>
      <c r="L46" s="31"/>
      <c r="M46" s="31"/>
      <c r="N46" s="31"/>
      <c r="O46" s="31"/>
      <c r="P46" s="31"/>
      <c r="Q46" s="31"/>
      <c r="R46" s="31"/>
      <c r="S46" s="31"/>
    </row>
    <row r="47" spans="1:22" x14ac:dyDescent="0.2">
      <c r="A47" s="31"/>
      <c r="B47" s="201"/>
      <c r="C47" s="201"/>
      <c r="D47" s="86"/>
      <c r="E47" s="87"/>
      <c r="F47" s="87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22" ht="15.75" x14ac:dyDescent="0.25">
      <c r="A48" s="31"/>
      <c r="B48" s="77"/>
      <c r="C48" s="88" t="str">
        <f>+"Calculated concentration ("&amp;$C$11&amp;"): "</f>
        <v xml:space="preserve">Calculated concentration (ug/kg): </v>
      </c>
      <c r="D48" s="106">
        <f>IF(G41="","",IF(G42="","",+S23/S22))</f>
        <v>67.57918797599072</v>
      </c>
      <c r="E48" s="77"/>
      <c r="F48" s="88" t="s">
        <v>71</v>
      </c>
      <c r="G48" s="194" t="str">
        <f>+IF(L34="","",IF(L34="NO","REPEAT",IF(D48="","COMPLIANT",IF(G41="NO","COMPLIANT",IF(AND(G44="NO",D48&lt;C10),"COMPLIANT",IF(AND(G44="NO",D48&gt;C10),"CHECK EGL",IF(G42="NO","COMPLIANT",IF(D48&gt;J44,"NON COMPLIANT","COMPLIANT"))))))))</f>
        <v>COMPLIANT</v>
      </c>
      <c r="H48" s="195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2">
      <c r="A49" s="31"/>
      <c r="B49" s="202"/>
      <c r="C49" s="202"/>
      <c r="D49" s="86"/>
      <c r="E49" s="202"/>
      <c r="F49" s="202"/>
      <c r="G49" s="77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1" spans="1:19" ht="15.75" x14ac:dyDescent="0.25">
      <c r="B51" s="10" t="s">
        <v>72</v>
      </c>
    </row>
    <row r="52" spans="1:19" ht="58.9" customHeight="1" x14ac:dyDescent="0.25">
      <c r="B52" s="191" t="s">
        <v>90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</row>
    <row r="53" spans="1:19" s="36" customFormat="1" ht="15.75" thickBot="1" x14ac:dyDescent="0.25"/>
    <row r="55" spans="1:19" x14ac:dyDescent="0.2">
      <c r="E55" s="105">
        <v>0.22</v>
      </c>
    </row>
    <row r="56" spans="1:19" x14ac:dyDescent="0.2">
      <c r="E56" s="3">
        <f>10+1.64*(10*E55)</f>
        <v>13.608000000000001</v>
      </c>
    </row>
  </sheetData>
  <sheetProtection sheet="1" objects="1" scenarios="1" autoFilter="0"/>
  <mergeCells count="27">
    <mergeCell ref="C17:D17"/>
    <mergeCell ref="C18:D18"/>
    <mergeCell ref="C20:C21"/>
    <mergeCell ref="D20:D21"/>
    <mergeCell ref="E20:E21"/>
    <mergeCell ref="B42:C42"/>
    <mergeCell ref="G20:G21"/>
    <mergeCell ref="J20:J21"/>
    <mergeCell ref="L20:L21"/>
    <mergeCell ref="M20:M21"/>
    <mergeCell ref="B34:C34"/>
    <mergeCell ref="E34:F34"/>
    <mergeCell ref="F20:F21"/>
    <mergeCell ref="B35:C35"/>
    <mergeCell ref="E35:F35"/>
    <mergeCell ref="B36:C36"/>
    <mergeCell ref="B37:C37"/>
    <mergeCell ref="B41:C41"/>
    <mergeCell ref="B49:C49"/>
    <mergeCell ref="E49:F49"/>
    <mergeCell ref="B52:S52"/>
    <mergeCell ref="B43:C43"/>
    <mergeCell ref="B44:C44"/>
    <mergeCell ref="B45:C45"/>
    <mergeCell ref="B46:C46"/>
    <mergeCell ref="B47:C47"/>
    <mergeCell ref="G48:H48"/>
  </mergeCells>
  <conditionalFormatting sqref="I24:I30">
    <cfRule type="cellIs" dxfId="1" priority="1" operator="greaterThan">
      <formula>5*$D$48</formula>
    </cfRule>
    <cfRule type="cellIs" dxfId="0" priority="2" operator="lessThan">
      <formula>0.2*$D$48</formula>
    </cfRule>
  </conditionalFormatting>
  <dataValidations count="1">
    <dataValidation type="list" allowBlank="1" showInputMessage="1" showErrorMessage="1" sqref="C11" xr:uid="{FA124F31-E664-4075-9A7C-979ED49EC801}">
      <formula1>$U$3:$U$4</formula1>
    </dataValidation>
  </dataValidations>
  <pageMargins left="0.7" right="0.7" top="0.75" bottom="0.75" header="0.3" footer="0.3"/>
  <pageSetup paperSize="9" scale="39" fitToHeight="0" orientation="landscape" r:id="rId1"/>
  <colBreaks count="1" manualBreakCount="1">
    <brk id="1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1976-0D63-4532-9D12-8D4F4230A72B}">
  <sheetPr filterMode="1"/>
  <dimension ref="A1:M345"/>
  <sheetViews>
    <sheetView topLeftCell="A300" workbookViewId="0">
      <selection activeCell="B1" sqref="B1"/>
    </sheetView>
  </sheetViews>
  <sheetFormatPr defaultRowHeight="15" x14ac:dyDescent="0.25"/>
  <cols>
    <col min="2" max="2" width="24" customWidth="1"/>
    <col min="4" max="4" width="21.5703125" bestFit="1" customWidth="1"/>
    <col min="6" max="6" width="35.7109375" customWidth="1"/>
    <col min="8" max="8" width="17.140625" customWidth="1"/>
    <col min="9" max="9" width="27.5703125" customWidth="1"/>
  </cols>
  <sheetData>
    <row r="1" spans="1:8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</row>
    <row r="2" spans="1:8" hidden="1" x14ac:dyDescent="0.25">
      <c r="A2">
        <v>7</v>
      </c>
      <c r="B2" t="s">
        <v>99</v>
      </c>
      <c r="C2" t="s">
        <v>100</v>
      </c>
      <c r="D2" t="s">
        <v>101</v>
      </c>
      <c r="E2" t="s">
        <v>102</v>
      </c>
      <c r="F2" t="s">
        <v>6</v>
      </c>
      <c r="G2" s="107">
        <v>202600000</v>
      </c>
      <c r="H2" s="107">
        <v>4.13</v>
      </c>
    </row>
    <row r="3" spans="1:8" hidden="1" x14ac:dyDescent="0.25">
      <c r="A3">
        <v>8</v>
      </c>
      <c r="B3" t="s">
        <v>99</v>
      </c>
      <c r="C3" t="s">
        <v>100</v>
      </c>
      <c r="D3" t="s">
        <v>103</v>
      </c>
      <c r="E3" t="s">
        <v>104</v>
      </c>
      <c r="F3" t="s">
        <v>6</v>
      </c>
      <c r="G3" s="107">
        <v>78170000</v>
      </c>
      <c r="H3" s="107">
        <v>4.13</v>
      </c>
    </row>
    <row r="4" spans="1:8" x14ac:dyDescent="0.25">
      <c r="A4">
        <v>9</v>
      </c>
      <c r="B4" t="s">
        <v>99</v>
      </c>
      <c r="C4" t="s">
        <v>100</v>
      </c>
      <c r="D4" t="s">
        <v>105</v>
      </c>
      <c r="E4" t="s">
        <v>104</v>
      </c>
      <c r="F4" t="s">
        <v>6</v>
      </c>
      <c r="G4" s="107">
        <v>104700000</v>
      </c>
      <c r="H4" s="107">
        <v>4.13</v>
      </c>
    </row>
    <row r="5" spans="1:8" x14ac:dyDescent="0.25">
      <c r="A5">
        <v>12</v>
      </c>
      <c r="B5" t="s">
        <v>99</v>
      </c>
      <c r="C5" t="s">
        <v>100</v>
      </c>
      <c r="D5" t="s">
        <v>106</v>
      </c>
      <c r="E5" t="s">
        <v>104</v>
      </c>
      <c r="F5" t="s">
        <v>6</v>
      </c>
      <c r="G5" s="107">
        <v>15330000</v>
      </c>
      <c r="H5" s="107">
        <v>4.12</v>
      </c>
    </row>
    <row r="6" spans="1:8" hidden="1" x14ac:dyDescent="0.25">
      <c r="A6">
        <v>85</v>
      </c>
      <c r="B6" t="s">
        <v>107</v>
      </c>
      <c r="C6" t="s">
        <v>100</v>
      </c>
      <c r="D6" t="s">
        <v>101</v>
      </c>
      <c r="E6" t="s">
        <v>102</v>
      </c>
      <c r="F6" t="s">
        <v>6</v>
      </c>
      <c r="G6" s="107">
        <v>188300000</v>
      </c>
      <c r="H6" s="107">
        <v>4.12</v>
      </c>
    </row>
    <row r="7" spans="1:8" hidden="1" x14ac:dyDescent="0.25">
      <c r="A7">
        <v>86</v>
      </c>
      <c r="B7" t="s">
        <v>107</v>
      </c>
      <c r="C7" t="s">
        <v>100</v>
      </c>
      <c r="D7" t="s">
        <v>103</v>
      </c>
      <c r="E7" t="s">
        <v>104</v>
      </c>
      <c r="F7" t="s">
        <v>6</v>
      </c>
      <c r="G7" s="107">
        <v>70800000</v>
      </c>
      <c r="H7" s="107">
        <v>4.12</v>
      </c>
    </row>
    <row r="8" spans="1:8" x14ac:dyDescent="0.25">
      <c r="A8">
        <v>87</v>
      </c>
      <c r="B8" t="s">
        <v>107</v>
      </c>
      <c r="C8" t="s">
        <v>100</v>
      </c>
      <c r="D8" t="s">
        <v>105</v>
      </c>
      <c r="E8" t="s">
        <v>104</v>
      </c>
      <c r="F8" t="s">
        <v>6</v>
      </c>
      <c r="G8" s="107">
        <v>92940000</v>
      </c>
      <c r="H8" s="107">
        <v>4.12</v>
      </c>
    </row>
    <row r="9" spans="1:8" x14ac:dyDescent="0.25">
      <c r="A9">
        <v>90</v>
      </c>
      <c r="B9" t="s">
        <v>107</v>
      </c>
      <c r="C9" t="s">
        <v>100</v>
      </c>
      <c r="D9" t="s">
        <v>106</v>
      </c>
      <c r="E9" t="s">
        <v>104</v>
      </c>
      <c r="F9" t="s">
        <v>6</v>
      </c>
      <c r="G9" s="107">
        <v>14350000</v>
      </c>
      <c r="H9" s="107">
        <v>4.1100000000000003</v>
      </c>
    </row>
    <row r="10" spans="1:8" hidden="1" x14ac:dyDescent="0.25">
      <c r="A10">
        <v>163</v>
      </c>
      <c r="B10" t="s">
        <v>108</v>
      </c>
      <c r="C10" t="s">
        <v>100</v>
      </c>
      <c r="D10" t="s">
        <v>101</v>
      </c>
      <c r="E10" t="s">
        <v>102</v>
      </c>
      <c r="F10" t="s">
        <v>6</v>
      </c>
      <c r="G10" s="107">
        <v>223300000</v>
      </c>
      <c r="H10" s="107">
        <v>4.12</v>
      </c>
    </row>
    <row r="11" spans="1:8" hidden="1" x14ac:dyDescent="0.25">
      <c r="A11">
        <v>164</v>
      </c>
      <c r="B11" t="s">
        <v>108</v>
      </c>
      <c r="C11" t="s">
        <v>100</v>
      </c>
      <c r="D11" t="s">
        <v>103</v>
      </c>
      <c r="E11" t="s">
        <v>104</v>
      </c>
      <c r="F11" t="s">
        <v>6</v>
      </c>
      <c r="G11" s="107">
        <v>84430000</v>
      </c>
      <c r="H11" s="107">
        <v>4.12</v>
      </c>
    </row>
    <row r="12" spans="1:8" x14ac:dyDescent="0.25">
      <c r="A12">
        <v>165</v>
      </c>
      <c r="B12" t="s">
        <v>108</v>
      </c>
      <c r="C12" t="s">
        <v>100</v>
      </c>
      <c r="D12" t="s">
        <v>105</v>
      </c>
      <c r="E12" t="s">
        <v>104</v>
      </c>
      <c r="F12" t="s">
        <v>6</v>
      </c>
      <c r="G12" s="107">
        <v>108200000</v>
      </c>
      <c r="H12" s="107">
        <v>4.12</v>
      </c>
    </row>
    <row r="13" spans="1:8" x14ac:dyDescent="0.25">
      <c r="A13">
        <v>168</v>
      </c>
      <c r="B13" t="s">
        <v>108</v>
      </c>
      <c r="C13" t="s">
        <v>100</v>
      </c>
      <c r="D13" t="s">
        <v>106</v>
      </c>
      <c r="E13" t="s">
        <v>104</v>
      </c>
      <c r="F13" t="s">
        <v>6</v>
      </c>
      <c r="G13" s="107">
        <v>14300000</v>
      </c>
      <c r="H13" s="107">
        <v>4.1100000000000003</v>
      </c>
    </row>
    <row r="14" spans="1:8" hidden="1" x14ac:dyDescent="0.25">
      <c r="A14">
        <v>241</v>
      </c>
      <c r="B14" t="s">
        <v>109</v>
      </c>
      <c r="C14" t="s">
        <v>100</v>
      </c>
      <c r="D14" t="s">
        <v>101</v>
      </c>
      <c r="E14" t="s">
        <v>102</v>
      </c>
      <c r="F14" t="s">
        <v>6</v>
      </c>
      <c r="G14" s="107">
        <v>244500000</v>
      </c>
      <c r="H14" s="107">
        <v>4.12</v>
      </c>
    </row>
    <row r="15" spans="1:8" hidden="1" x14ac:dyDescent="0.25">
      <c r="A15">
        <v>242</v>
      </c>
      <c r="B15" t="s">
        <v>109</v>
      </c>
      <c r="C15" t="s">
        <v>100</v>
      </c>
      <c r="D15" t="s">
        <v>103</v>
      </c>
      <c r="E15" t="s">
        <v>104</v>
      </c>
      <c r="F15" t="s">
        <v>6</v>
      </c>
      <c r="G15" s="107">
        <v>92160000</v>
      </c>
      <c r="H15" s="107">
        <v>4.12</v>
      </c>
    </row>
    <row r="16" spans="1:8" x14ac:dyDescent="0.25">
      <c r="A16">
        <v>243</v>
      </c>
      <c r="B16" t="s">
        <v>109</v>
      </c>
      <c r="C16" t="s">
        <v>100</v>
      </c>
      <c r="D16" t="s">
        <v>105</v>
      </c>
      <c r="E16" t="s">
        <v>104</v>
      </c>
      <c r="F16" t="s">
        <v>6</v>
      </c>
      <c r="G16" s="107">
        <v>122700000</v>
      </c>
      <c r="H16" s="107">
        <v>4.12</v>
      </c>
    </row>
    <row r="17" spans="1:8" x14ac:dyDescent="0.25">
      <c r="A17">
        <v>246</v>
      </c>
      <c r="B17" t="s">
        <v>109</v>
      </c>
      <c r="C17" t="s">
        <v>100</v>
      </c>
      <c r="D17" t="s">
        <v>106</v>
      </c>
      <c r="E17" t="s">
        <v>104</v>
      </c>
      <c r="F17" t="s">
        <v>6</v>
      </c>
      <c r="G17" s="107">
        <v>13440000</v>
      </c>
      <c r="H17" s="107">
        <v>4.1100000000000003</v>
      </c>
    </row>
    <row r="18" spans="1:8" hidden="1" x14ac:dyDescent="0.25">
      <c r="A18">
        <v>319</v>
      </c>
      <c r="B18" t="s">
        <v>110</v>
      </c>
      <c r="C18" t="s">
        <v>100</v>
      </c>
      <c r="D18" t="s">
        <v>101</v>
      </c>
      <c r="E18" t="s">
        <v>102</v>
      </c>
      <c r="F18" t="s">
        <v>6</v>
      </c>
      <c r="G18" s="107">
        <v>311600000</v>
      </c>
      <c r="H18" s="107">
        <v>4.0999999999999996</v>
      </c>
    </row>
    <row r="19" spans="1:8" hidden="1" x14ac:dyDescent="0.25">
      <c r="A19">
        <v>320</v>
      </c>
      <c r="B19" t="s">
        <v>110</v>
      </c>
      <c r="C19" t="s">
        <v>100</v>
      </c>
      <c r="D19" t="s">
        <v>103</v>
      </c>
      <c r="E19" t="s">
        <v>104</v>
      </c>
      <c r="F19" t="s">
        <v>6</v>
      </c>
      <c r="G19" s="107">
        <v>111900000</v>
      </c>
      <c r="H19" s="107">
        <v>4.1100000000000003</v>
      </c>
    </row>
    <row r="20" spans="1:8" x14ac:dyDescent="0.25">
      <c r="A20">
        <v>321</v>
      </c>
      <c r="B20" t="s">
        <v>110</v>
      </c>
      <c r="C20" t="s">
        <v>100</v>
      </c>
      <c r="D20" t="s">
        <v>105</v>
      </c>
      <c r="E20" t="s">
        <v>104</v>
      </c>
      <c r="F20" t="s">
        <v>6</v>
      </c>
      <c r="G20" s="107">
        <v>140500000</v>
      </c>
      <c r="H20" s="107">
        <v>4.0999999999999996</v>
      </c>
    </row>
    <row r="21" spans="1:8" x14ac:dyDescent="0.25">
      <c r="A21">
        <v>324</v>
      </c>
      <c r="B21" t="s">
        <v>110</v>
      </c>
      <c r="C21" t="s">
        <v>100</v>
      </c>
      <c r="D21" t="s">
        <v>106</v>
      </c>
      <c r="E21" t="s">
        <v>104</v>
      </c>
      <c r="F21" t="s">
        <v>6</v>
      </c>
      <c r="G21" s="107">
        <v>13760000</v>
      </c>
      <c r="H21" s="107">
        <v>4.0999999999999996</v>
      </c>
    </row>
    <row r="22" spans="1:8" hidden="1" x14ac:dyDescent="0.25">
      <c r="A22">
        <v>397</v>
      </c>
      <c r="B22" t="s">
        <v>111</v>
      </c>
      <c r="C22" t="s">
        <v>100</v>
      </c>
      <c r="D22" t="s">
        <v>101</v>
      </c>
      <c r="E22" t="s">
        <v>102</v>
      </c>
      <c r="F22" t="s">
        <v>6</v>
      </c>
      <c r="G22" s="107">
        <v>515200000</v>
      </c>
      <c r="H22" s="107">
        <v>4.13</v>
      </c>
    </row>
    <row r="23" spans="1:8" hidden="1" x14ac:dyDescent="0.25">
      <c r="A23">
        <v>398</v>
      </c>
      <c r="B23" t="s">
        <v>111</v>
      </c>
      <c r="C23" t="s">
        <v>100</v>
      </c>
      <c r="D23" t="s">
        <v>103</v>
      </c>
      <c r="E23" t="s">
        <v>104</v>
      </c>
      <c r="F23" t="s">
        <v>6</v>
      </c>
      <c r="G23" s="107">
        <v>151000000</v>
      </c>
      <c r="H23" s="107">
        <v>4.13</v>
      </c>
    </row>
    <row r="24" spans="1:8" x14ac:dyDescent="0.25">
      <c r="A24">
        <v>399</v>
      </c>
      <c r="B24" t="s">
        <v>111</v>
      </c>
      <c r="C24" t="s">
        <v>100</v>
      </c>
      <c r="D24" t="s">
        <v>105</v>
      </c>
      <c r="E24" t="s">
        <v>104</v>
      </c>
      <c r="F24" t="s">
        <v>6</v>
      </c>
      <c r="G24" s="107">
        <v>202400000</v>
      </c>
      <c r="H24" s="107">
        <v>4.13</v>
      </c>
    </row>
    <row r="25" spans="1:8" x14ac:dyDescent="0.25">
      <c r="A25">
        <v>402</v>
      </c>
      <c r="B25" t="s">
        <v>111</v>
      </c>
      <c r="C25" t="s">
        <v>100</v>
      </c>
      <c r="D25" t="s">
        <v>106</v>
      </c>
      <c r="E25" t="s">
        <v>104</v>
      </c>
      <c r="F25" t="s">
        <v>6</v>
      </c>
      <c r="G25" s="107">
        <v>12340000</v>
      </c>
      <c r="H25" s="107">
        <v>4.12</v>
      </c>
    </row>
    <row r="26" spans="1:8" hidden="1" x14ac:dyDescent="0.25">
      <c r="A26">
        <v>475</v>
      </c>
      <c r="B26" t="s">
        <v>112</v>
      </c>
      <c r="C26" t="s">
        <v>100</v>
      </c>
      <c r="D26" t="s">
        <v>101</v>
      </c>
      <c r="E26" t="s">
        <v>102</v>
      </c>
      <c r="F26" t="s">
        <v>6</v>
      </c>
      <c r="G26" s="107">
        <v>730200000</v>
      </c>
      <c r="H26" s="107">
        <v>4.1399999999999997</v>
      </c>
    </row>
    <row r="27" spans="1:8" hidden="1" x14ac:dyDescent="0.25">
      <c r="A27">
        <v>476</v>
      </c>
      <c r="B27" t="s">
        <v>112</v>
      </c>
      <c r="C27" t="s">
        <v>100</v>
      </c>
      <c r="D27" t="s">
        <v>103</v>
      </c>
      <c r="E27" t="s">
        <v>104</v>
      </c>
      <c r="F27" t="s">
        <v>6</v>
      </c>
      <c r="G27" s="107">
        <v>217300000</v>
      </c>
      <c r="H27" s="107">
        <v>4.1399999999999997</v>
      </c>
    </row>
    <row r="28" spans="1:8" x14ac:dyDescent="0.25">
      <c r="A28">
        <v>477</v>
      </c>
      <c r="B28" t="s">
        <v>112</v>
      </c>
      <c r="C28" t="s">
        <v>100</v>
      </c>
      <c r="D28" t="s">
        <v>105</v>
      </c>
      <c r="E28" t="s">
        <v>104</v>
      </c>
      <c r="F28" t="s">
        <v>6</v>
      </c>
      <c r="G28" s="107">
        <v>316900000</v>
      </c>
      <c r="H28" s="107">
        <v>4.1399999999999997</v>
      </c>
    </row>
    <row r="29" spans="1:8" x14ac:dyDescent="0.25">
      <c r="A29">
        <v>480</v>
      </c>
      <c r="B29" t="s">
        <v>112</v>
      </c>
      <c r="C29" t="s">
        <v>100</v>
      </c>
      <c r="D29" t="s">
        <v>106</v>
      </c>
      <c r="E29" t="s">
        <v>104</v>
      </c>
      <c r="F29" t="s">
        <v>6</v>
      </c>
      <c r="G29" s="107">
        <v>10110000</v>
      </c>
      <c r="H29" s="107">
        <v>4.13</v>
      </c>
    </row>
    <row r="30" spans="1:8" hidden="1" x14ac:dyDescent="0.25">
      <c r="A30">
        <v>553</v>
      </c>
      <c r="B30" t="s">
        <v>113</v>
      </c>
      <c r="C30" t="s">
        <v>100</v>
      </c>
      <c r="D30" t="s">
        <v>101</v>
      </c>
      <c r="E30" t="s">
        <v>102</v>
      </c>
      <c r="F30" t="s">
        <v>6</v>
      </c>
      <c r="G30" s="107">
        <v>858900000</v>
      </c>
      <c r="H30" s="107">
        <v>4.13</v>
      </c>
    </row>
    <row r="31" spans="1:8" hidden="1" x14ac:dyDescent="0.25">
      <c r="A31">
        <v>554</v>
      </c>
      <c r="B31" t="s">
        <v>113</v>
      </c>
      <c r="C31" t="s">
        <v>100</v>
      </c>
      <c r="D31" t="s">
        <v>103</v>
      </c>
      <c r="E31" t="s">
        <v>104</v>
      </c>
      <c r="F31" t="s">
        <v>6</v>
      </c>
      <c r="G31" s="107">
        <v>337400000</v>
      </c>
      <c r="H31" s="107">
        <v>4.13</v>
      </c>
    </row>
    <row r="32" spans="1:8" x14ac:dyDescent="0.25">
      <c r="A32">
        <v>555</v>
      </c>
      <c r="B32" t="s">
        <v>113</v>
      </c>
      <c r="C32" t="s">
        <v>100</v>
      </c>
      <c r="D32" t="s">
        <v>105</v>
      </c>
      <c r="E32" t="s">
        <v>104</v>
      </c>
      <c r="F32" t="s">
        <v>6</v>
      </c>
      <c r="G32" s="107">
        <v>528300000</v>
      </c>
      <c r="H32" s="107">
        <v>4.12</v>
      </c>
    </row>
    <row r="33" spans="1:8" x14ac:dyDescent="0.25">
      <c r="A33">
        <v>558</v>
      </c>
      <c r="B33" t="s">
        <v>113</v>
      </c>
      <c r="C33" t="s">
        <v>100</v>
      </c>
      <c r="D33" t="s">
        <v>106</v>
      </c>
      <c r="E33" t="s">
        <v>104</v>
      </c>
      <c r="F33" t="s">
        <v>6</v>
      </c>
      <c r="G33" s="107">
        <v>8142000</v>
      </c>
      <c r="H33" s="107">
        <v>4.1100000000000003</v>
      </c>
    </row>
    <row r="34" spans="1:8" hidden="1" x14ac:dyDescent="0.25">
      <c r="A34">
        <v>631</v>
      </c>
      <c r="B34" t="s">
        <v>114</v>
      </c>
      <c r="C34" t="s">
        <v>100</v>
      </c>
      <c r="D34" t="s">
        <v>101</v>
      </c>
      <c r="E34" t="s">
        <v>102</v>
      </c>
      <c r="F34" t="s">
        <v>6</v>
      </c>
      <c r="G34" s="107">
        <v>849600</v>
      </c>
      <c r="H34" s="107">
        <v>4.2</v>
      </c>
    </row>
    <row r="35" spans="1:8" hidden="1" x14ac:dyDescent="0.25">
      <c r="A35">
        <v>632</v>
      </c>
      <c r="B35" t="s">
        <v>114</v>
      </c>
      <c r="C35" t="s">
        <v>100</v>
      </c>
      <c r="D35" t="s">
        <v>103</v>
      </c>
      <c r="E35" t="s">
        <v>104</v>
      </c>
      <c r="F35" t="s">
        <v>6</v>
      </c>
      <c r="G35" s="107">
        <v>307400</v>
      </c>
      <c r="H35" s="107">
        <v>4.1900000000000004</v>
      </c>
    </row>
    <row r="36" spans="1:8" x14ac:dyDescent="0.25">
      <c r="A36">
        <v>633</v>
      </c>
      <c r="B36" t="s">
        <v>114</v>
      </c>
      <c r="C36" t="s">
        <v>100</v>
      </c>
      <c r="D36" t="s">
        <v>105</v>
      </c>
      <c r="E36" t="s">
        <v>104</v>
      </c>
      <c r="F36" t="s">
        <v>6</v>
      </c>
      <c r="G36" s="107">
        <v>420400</v>
      </c>
      <c r="H36" s="107">
        <v>4.1900000000000004</v>
      </c>
    </row>
    <row r="37" spans="1:8" x14ac:dyDescent="0.25">
      <c r="A37">
        <v>636</v>
      </c>
      <c r="B37" t="s">
        <v>114</v>
      </c>
      <c r="C37" t="s">
        <v>100</v>
      </c>
      <c r="D37" t="s">
        <v>106</v>
      </c>
      <c r="E37" t="s">
        <v>104</v>
      </c>
      <c r="F37" t="s">
        <v>6</v>
      </c>
      <c r="G37" s="107">
        <v>1251</v>
      </c>
      <c r="H37" s="107">
        <v>4.1399999999999997</v>
      </c>
    </row>
    <row r="38" spans="1:8" hidden="1" x14ac:dyDescent="0.25">
      <c r="A38">
        <v>709</v>
      </c>
      <c r="B38" t="s">
        <v>114</v>
      </c>
      <c r="C38" t="s">
        <v>100</v>
      </c>
      <c r="D38" t="s">
        <v>101</v>
      </c>
      <c r="E38" t="s">
        <v>102</v>
      </c>
      <c r="F38" t="s">
        <v>6</v>
      </c>
      <c r="G38" s="107">
        <v>336900</v>
      </c>
      <c r="H38" s="107">
        <v>4.3099999999999996</v>
      </c>
    </row>
    <row r="39" spans="1:8" hidden="1" x14ac:dyDescent="0.25">
      <c r="A39">
        <v>710</v>
      </c>
      <c r="B39" t="s">
        <v>114</v>
      </c>
      <c r="C39" t="s">
        <v>100</v>
      </c>
      <c r="D39" t="s">
        <v>103</v>
      </c>
      <c r="E39" t="s">
        <v>104</v>
      </c>
      <c r="F39" t="s">
        <v>6</v>
      </c>
      <c r="G39" s="107">
        <v>109000</v>
      </c>
      <c r="H39" s="107">
        <v>4.2</v>
      </c>
    </row>
    <row r="40" spans="1:8" x14ac:dyDescent="0.25">
      <c r="A40">
        <v>711</v>
      </c>
      <c r="B40" t="s">
        <v>114</v>
      </c>
      <c r="C40" t="s">
        <v>100</v>
      </c>
      <c r="D40" t="s">
        <v>105</v>
      </c>
      <c r="E40" t="s">
        <v>104</v>
      </c>
      <c r="F40" t="s">
        <v>6</v>
      </c>
      <c r="G40" s="107">
        <v>111500</v>
      </c>
      <c r="H40" s="107">
        <v>4.21</v>
      </c>
    </row>
    <row r="41" spans="1:8" x14ac:dyDescent="0.25">
      <c r="A41">
        <v>714</v>
      </c>
      <c r="B41" t="s">
        <v>114</v>
      </c>
      <c r="C41" t="s">
        <v>100</v>
      </c>
      <c r="D41" t="s">
        <v>106</v>
      </c>
      <c r="E41" t="s">
        <v>104</v>
      </c>
      <c r="F41" t="s">
        <v>6</v>
      </c>
      <c r="G41" s="107">
        <v>625.29999999999995</v>
      </c>
      <c r="H41" s="107">
        <v>4.17</v>
      </c>
    </row>
    <row r="42" spans="1:8" hidden="1" x14ac:dyDescent="0.25">
      <c r="A42">
        <v>787</v>
      </c>
      <c r="B42" t="s">
        <v>115</v>
      </c>
      <c r="C42" t="s">
        <v>100</v>
      </c>
      <c r="D42" t="s">
        <v>101</v>
      </c>
      <c r="E42" t="s">
        <v>102</v>
      </c>
      <c r="F42" t="s">
        <v>6</v>
      </c>
      <c r="G42" s="107">
        <v>231000</v>
      </c>
      <c r="H42" s="107">
        <v>4.1399999999999997</v>
      </c>
    </row>
    <row r="43" spans="1:8" hidden="1" x14ac:dyDescent="0.25">
      <c r="A43">
        <v>788</v>
      </c>
      <c r="B43" t="s">
        <v>115</v>
      </c>
      <c r="C43" t="s">
        <v>100</v>
      </c>
      <c r="D43" t="s">
        <v>103</v>
      </c>
      <c r="E43" t="s">
        <v>104</v>
      </c>
      <c r="F43" t="s">
        <v>6</v>
      </c>
      <c r="G43" s="107">
        <v>89650</v>
      </c>
      <c r="H43" s="107">
        <v>4.1399999999999997</v>
      </c>
    </row>
    <row r="44" spans="1:8" x14ac:dyDescent="0.25">
      <c r="A44">
        <v>789</v>
      </c>
      <c r="B44" t="s">
        <v>115</v>
      </c>
      <c r="C44" t="s">
        <v>100</v>
      </c>
      <c r="D44" t="s">
        <v>105</v>
      </c>
      <c r="E44" t="s">
        <v>104</v>
      </c>
      <c r="F44" t="s">
        <v>6</v>
      </c>
      <c r="G44" s="107">
        <v>104400</v>
      </c>
      <c r="H44" s="107">
        <v>4.1399999999999997</v>
      </c>
    </row>
    <row r="45" spans="1:8" x14ac:dyDescent="0.25">
      <c r="A45">
        <v>792</v>
      </c>
      <c r="B45" t="s">
        <v>115</v>
      </c>
      <c r="C45" t="s">
        <v>100</v>
      </c>
      <c r="D45" t="s">
        <v>106</v>
      </c>
      <c r="E45" t="s">
        <v>104</v>
      </c>
      <c r="F45" t="s">
        <v>6</v>
      </c>
      <c r="G45" s="107">
        <v>25220000</v>
      </c>
      <c r="H45" s="107">
        <v>4.13</v>
      </c>
    </row>
    <row r="46" spans="1:8" hidden="1" x14ac:dyDescent="0.25">
      <c r="A46">
        <v>865</v>
      </c>
      <c r="B46" t="s">
        <v>116</v>
      </c>
      <c r="C46" t="s">
        <v>100</v>
      </c>
      <c r="D46" t="s">
        <v>101</v>
      </c>
      <c r="E46" t="s">
        <v>102</v>
      </c>
      <c r="F46" t="s">
        <v>6</v>
      </c>
      <c r="G46" s="107">
        <v>191300000</v>
      </c>
      <c r="H46" s="107">
        <v>4.1399999999999997</v>
      </c>
    </row>
    <row r="47" spans="1:8" hidden="1" x14ac:dyDescent="0.25">
      <c r="A47">
        <v>866</v>
      </c>
      <c r="B47" t="s">
        <v>116</v>
      </c>
      <c r="C47" t="s">
        <v>100</v>
      </c>
      <c r="D47" t="s">
        <v>103</v>
      </c>
      <c r="E47" t="s">
        <v>104</v>
      </c>
      <c r="F47" t="s">
        <v>6</v>
      </c>
      <c r="G47" s="107">
        <v>72130000</v>
      </c>
      <c r="H47" s="107">
        <v>4.1399999999999997</v>
      </c>
    </row>
    <row r="48" spans="1:8" x14ac:dyDescent="0.25">
      <c r="A48">
        <v>867</v>
      </c>
      <c r="B48" t="s">
        <v>116</v>
      </c>
      <c r="C48" t="s">
        <v>100</v>
      </c>
      <c r="D48" t="s">
        <v>105</v>
      </c>
      <c r="E48" t="s">
        <v>104</v>
      </c>
      <c r="F48" t="s">
        <v>6</v>
      </c>
      <c r="G48" s="107">
        <v>95560000</v>
      </c>
      <c r="H48" s="107">
        <v>4.1399999999999997</v>
      </c>
    </row>
    <row r="49" spans="1:8" x14ac:dyDescent="0.25">
      <c r="A49">
        <v>870</v>
      </c>
      <c r="B49" t="s">
        <v>116</v>
      </c>
      <c r="C49" t="s">
        <v>100</v>
      </c>
      <c r="D49" t="s">
        <v>106</v>
      </c>
      <c r="E49" t="s">
        <v>104</v>
      </c>
      <c r="F49" t="s">
        <v>6</v>
      </c>
      <c r="G49" s="107">
        <v>20450000</v>
      </c>
      <c r="H49" s="107">
        <v>4.13</v>
      </c>
    </row>
    <row r="50" spans="1:8" hidden="1" x14ac:dyDescent="0.25">
      <c r="A50">
        <v>943</v>
      </c>
      <c r="B50" t="s">
        <v>114</v>
      </c>
      <c r="C50" t="s">
        <v>100</v>
      </c>
      <c r="D50" t="s">
        <v>101</v>
      </c>
      <c r="E50" t="s">
        <v>102</v>
      </c>
      <c r="F50" t="s">
        <v>6</v>
      </c>
      <c r="G50" s="107">
        <v>137000</v>
      </c>
      <c r="H50" s="107">
        <v>4.1900000000000004</v>
      </c>
    </row>
    <row r="51" spans="1:8" hidden="1" x14ac:dyDescent="0.25">
      <c r="A51">
        <v>944</v>
      </c>
      <c r="B51" t="s">
        <v>114</v>
      </c>
      <c r="C51" t="s">
        <v>100</v>
      </c>
      <c r="D51" t="s">
        <v>103</v>
      </c>
      <c r="E51" t="s">
        <v>104</v>
      </c>
      <c r="F51" t="s">
        <v>6</v>
      </c>
      <c r="G51" s="107">
        <v>52110</v>
      </c>
      <c r="H51" s="107">
        <v>4.2</v>
      </c>
    </row>
    <row r="52" spans="1:8" x14ac:dyDescent="0.25">
      <c r="A52">
        <v>945</v>
      </c>
      <c r="B52" t="s">
        <v>114</v>
      </c>
      <c r="C52" t="s">
        <v>100</v>
      </c>
      <c r="D52" t="s">
        <v>105</v>
      </c>
      <c r="E52" t="s">
        <v>104</v>
      </c>
      <c r="F52" t="s">
        <v>6</v>
      </c>
      <c r="G52" s="107">
        <v>98190</v>
      </c>
      <c r="H52" s="107">
        <v>4.17</v>
      </c>
    </row>
    <row r="53" spans="1:8" x14ac:dyDescent="0.25">
      <c r="A53">
        <v>948</v>
      </c>
      <c r="B53" t="s">
        <v>114</v>
      </c>
      <c r="C53" t="s">
        <v>100</v>
      </c>
      <c r="D53" t="s">
        <v>106</v>
      </c>
      <c r="E53" t="s">
        <v>104</v>
      </c>
      <c r="F53" t="s">
        <v>6</v>
      </c>
      <c r="G53" s="107">
        <v>7295</v>
      </c>
      <c r="H53" s="107">
        <v>4.18</v>
      </c>
    </row>
    <row r="54" spans="1:8" hidden="1" x14ac:dyDescent="0.25">
      <c r="A54">
        <v>1021</v>
      </c>
      <c r="B54" t="s">
        <v>114</v>
      </c>
      <c r="C54" t="s">
        <v>100</v>
      </c>
      <c r="D54" t="s">
        <v>101</v>
      </c>
      <c r="E54" t="s">
        <v>102</v>
      </c>
      <c r="F54" t="s">
        <v>6</v>
      </c>
      <c r="G54" s="107">
        <v>74220</v>
      </c>
      <c r="H54" s="107">
        <v>4.22</v>
      </c>
    </row>
    <row r="55" spans="1:8" hidden="1" x14ac:dyDescent="0.25">
      <c r="A55">
        <v>1022</v>
      </c>
      <c r="B55" t="s">
        <v>114</v>
      </c>
      <c r="C55" t="s">
        <v>100</v>
      </c>
      <c r="D55" t="s">
        <v>103</v>
      </c>
      <c r="E55" t="s">
        <v>104</v>
      </c>
      <c r="F55" t="s">
        <v>6</v>
      </c>
      <c r="G55" s="107">
        <v>35960</v>
      </c>
      <c r="H55" s="107">
        <v>4.2</v>
      </c>
    </row>
    <row r="56" spans="1:8" x14ac:dyDescent="0.25">
      <c r="A56">
        <v>1023</v>
      </c>
      <c r="B56" t="s">
        <v>114</v>
      </c>
      <c r="C56" t="s">
        <v>100</v>
      </c>
      <c r="D56" t="s">
        <v>105</v>
      </c>
      <c r="E56" t="s">
        <v>104</v>
      </c>
      <c r="F56" t="s">
        <v>6</v>
      </c>
      <c r="G56" s="107">
        <v>7714</v>
      </c>
      <c r="H56" s="107">
        <v>4.17</v>
      </c>
    </row>
    <row r="57" spans="1:8" x14ac:dyDescent="0.25">
      <c r="A57">
        <v>1026</v>
      </c>
      <c r="B57" t="s">
        <v>114</v>
      </c>
      <c r="C57" t="s">
        <v>100</v>
      </c>
      <c r="D57" t="s">
        <v>106</v>
      </c>
      <c r="E57" t="s">
        <v>104</v>
      </c>
      <c r="F57" t="s">
        <v>6</v>
      </c>
      <c r="G57" s="107">
        <v>3127</v>
      </c>
      <c r="H57" s="107">
        <v>4.1900000000000004</v>
      </c>
    </row>
    <row r="58" spans="1:8" hidden="1" x14ac:dyDescent="0.25">
      <c r="A58">
        <v>1099</v>
      </c>
      <c r="B58" t="s">
        <v>99</v>
      </c>
      <c r="C58" t="s">
        <v>100</v>
      </c>
      <c r="D58" t="s">
        <v>101</v>
      </c>
      <c r="E58" t="s">
        <v>102</v>
      </c>
      <c r="F58" t="s">
        <v>6</v>
      </c>
      <c r="G58" s="107">
        <v>116400000</v>
      </c>
      <c r="H58" s="107">
        <v>4.13</v>
      </c>
    </row>
    <row r="59" spans="1:8" hidden="1" x14ac:dyDescent="0.25">
      <c r="A59">
        <v>1100</v>
      </c>
      <c r="B59" t="s">
        <v>99</v>
      </c>
      <c r="C59" t="s">
        <v>100</v>
      </c>
      <c r="D59" t="s">
        <v>103</v>
      </c>
      <c r="E59" t="s">
        <v>104</v>
      </c>
      <c r="F59" t="s">
        <v>6</v>
      </c>
      <c r="G59" s="107">
        <v>42230000</v>
      </c>
      <c r="H59" s="107">
        <v>4.12</v>
      </c>
    </row>
    <row r="60" spans="1:8" x14ac:dyDescent="0.25">
      <c r="A60">
        <v>1101</v>
      </c>
      <c r="B60" t="s">
        <v>99</v>
      </c>
      <c r="C60" t="s">
        <v>100</v>
      </c>
      <c r="D60" t="s">
        <v>105</v>
      </c>
      <c r="E60" t="s">
        <v>104</v>
      </c>
      <c r="F60" t="s">
        <v>6</v>
      </c>
      <c r="G60" s="107">
        <v>55230000</v>
      </c>
      <c r="H60" s="107">
        <v>4.12</v>
      </c>
    </row>
    <row r="61" spans="1:8" x14ac:dyDescent="0.25">
      <c r="A61">
        <v>1104</v>
      </c>
      <c r="B61" t="s">
        <v>99</v>
      </c>
      <c r="C61" t="s">
        <v>100</v>
      </c>
      <c r="D61" t="s">
        <v>106</v>
      </c>
      <c r="E61" t="s">
        <v>104</v>
      </c>
      <c r="F61" t="s">
        <v>6</v>
      </c>
      <c r="G61" s="107">
        <v>3344000</v>
      </c>
      <c r="H61" s="107">
        <v>4.12</v>
      </c>
    </row>
    <row r="62" spans="1:8" hidden="1" x14ac:dyDescent="0.25">
      <c r="A62">
        <v>1177</v>
      </c>
      <c r="B62" t="s">
        <v>107</v>
      </c>
      <c r="C62" t="s">
        <v>100</v>
      </c>
      <c r="D62" t="s">
        <v>101</v>
      </c>
      <c r="E62" t="s">
        <v>102</v>
      </c>
      <c r="F62" t="s">
        <v>6</v>
      </c>
      <c r="G62" s="107">
        <v>115400000</v>
      </c>
      <c r="H62" s="107">
        <v>4.12</v>
      </c>
    </row>
    <row r="63" spans="1:8" hidden="1" x14ac:dyDescent="0.25">
      <c r="A63">
        <v>1178</v>
      </c>
      <c r="B63" t="s">
        <v>107</v>
      </c>
      <c r="C63" t="s">
        <v>100</v>
      </c>
      <c r="D63" t="s">
        <v>103</v>
      </c>
      <c r="E63" t="s">
        <v>104</v>
      </c>
      <c r="F63" t="s">
        <v>6</v>
      </c>
      <c r="G63" s="107">
        <v>39220000</v>
      </c>
      <c r="H63" s="107">
        <v>4.12</v>
      </c>
    </row>
    <row r="64" spans="1:8" x14ac:dyDescent="0.25">
      <c r="A64">
        <v>1179</v>
      </c>
      <c r="B64" t="s">
        <v>107</v>
      </c>
      <c r="C64" t="s">
        <v>100</v>
      </c>
      <c r="D64" t="s">
        <v>105</v>
      </c>
      <c r="E64" t="s">
        <v>104</v>
      </c>
      <c r="F64" t="s">
        <v>6</v>
      </c>
      <c r="G64" s="107">
        <v>54670000</v>
      </c>
      <c r="H64" s="107">
        <v>4.12</v>
      </c>
    </row>
    <row r="65" spans="1:8" x14ac:dyDescent="0.25">
      <c r="A65">
        <v>1182</v>
      </c>
      <c r="B65" t="s">
        <v>107</v>
      </c>
      <c r="C65" t="s">
        <v>100</v>
      </c>
      <c r="D65" t="s">
        <v>106</v>
      </c>
      <c r="E65" t="s">
        <v>104</v>
      </c>
      <c r="F65" t="s">
        <v>6</v>
      </c>
      <c r="G65" s="107">
        <v>3439000</v>
      </c>
      <c r="H65" s="107">
        <v>4.1100000000000003</v>
      </c>
    </row>
    <row r="66" spans="1:8" hidden="1" x14ac:dyDescent="0.25">
      <c r="A66">
        <v>1255</v>
      </c>
      <c r="B66" t="s">
        <v>108</v>
      </c>
      <c r="C66" t="s">
        <v>100</v>
      </c>
      <c r="D66" t="s">
        <v>101</v>
      </c>
      <c r="E66" t="s">
        <v>102</v>
      </c>
      <c r="F66" t="s">
        <v>6</v>
      </c>
      <c r="G66" s="107">
        <v>126000000</v>
      </c>
      <c r="H66" s="107">
        <v>4.12</v>
      </c>
    </row>
    <row r="67" spans="1:8" hidden="1" x14ac:dyDescent="0.25">
      <c r="A67">
        <v>1256</v>
      </c>
      <c r="B67" t="s">
        <v>108</v>
      </c>
      <c r="C67" t="s">
        <v>100</v>
      </c>
      <c r="D67" t="s">
        <v>103</v>
      </c>
      <c r="E67" t="s">
        <v>104</v>
      </c>
      <c r="F67" t="s">
        <v>6</v>
      </c>
      <c r="G67" s="107">
        <v>45570000</v>
      </c>
      <c r="H67" s="107">
        <v>4.12</v>
      </c>
    </row>
    <row r="68" spans="1:8" x14ac:dyDescent="0.25">
      <c r="A68">
        <v>1257</v>
      </c>
      <c r="B68" t="s">
        <v>108</v>
      </c>
      <c r="C68" t="s">
        <v>100</v>
      </c>
      <c r="D68" t="s">
        <v>105</v>
      </c>
      <c r="E68" t="s">
        <v>104</v>
      </c>
      <c r="F68" t="s">
        <v>6</v>
      </c>
      <c r="G68" s="107">
        <v>59880000</v>
      </c>
      <c r="H68" s="107">
        <v>4.12</v>
      </c>
    </row>
    <row r="69" spans="1:8" x14ac:dyDescent="0.25">
      <c r="A69">
        <v>1260</v>
      </c>
      <c r="B69" t="s">
        <v>108</v>
      </c>
      <c r="C69" t="s">
        <v>100</v>
      </c>
      <c r="D69" t="s">
        <v>106</v>
      </c>
      <c r="E69" t="s">
        <v>104</v>
      </c>
      <c r="F69" t="s">
        <v>6</v>
      </c>
      <c r="G69" s="107">
        <v>3316000</v>
      </c>
      <c r="H69" s="107">
        <v>4.12</v>
      </c>
    </row>
    <row r="70" spans="1:8" hidden="1" x14ac:dyDescent="0.25">
      <c r="A70">
        <v>1333</v>
      </c>
      <c r="B70" t="s">
        <v>109</v>
      </c>
      <c r="C70" t="s">
        <v>100</v>
      </c>
      <c r="D70" t="s">
        <v>101</v>
      </c>
      <c r="E70" t="s">
        <v>102</v>
      </c>
      <c r="F70" t="s">
        <v>6</v>
      </c>
      <c r="G70" s="107">
        <v>121100000</v>
      </c>
      <c r="H70" s="107">
        <v>4.13</v>
      </c>
    </row>
    <row r="71" spans="1:8" hidden="1" x14ac:dyDescent="0.25">
      <c r="A71">
        <v>1334</v>
      </c>
      <c r="B71" t="s">
        <v>109</v>
      </c>
      <c r="C71" t="s">
        <v>100</v>
      </c>
      <c r="D71" t="s">
        <v>103</v>
      </c>
      <c r="E71" t="s">
        <v>104</v>
      </c>
      <c r="F71" t="s">
        <v>6</v>
      </c>
      <c r="G71" s="107">
        <v>42730000</v>
      </c>
      <c r="H71" s="107">
        <v>4.13</v>
      </c>
    </row>
    <row r="72" spans="1:8" x14ac:dyDescent="0.25">
      <c r="A72">
        <v>1335</v>
      </c>
      <c r="B72" t="s">
        <v>109</v>
      </c>
      <c r="C72" t="s">
        <v>100</v>
      </c>
      <c r="D72" t="s">
        <v>105</v>
      </c>
      <c r="E72" t="s">
        <v>104</v>
      </c>
      <c r="F72" t="s">
        <v>6</v>
      </c>
      <c r="G72" s="107">
        <v>58830000</v>
      </c>
      <c r="H72" s="107">
        <v>4.13</v>
      </c>
    </row>
    <row r="73" spans="1:8" x14ac:dyDescent="0.25">
      <c r="A73">
        <v>1338</v>
      </c>
      <c r="B73" t="s">
        <v>109</v>
      </c>
      <c r="C73" t="s">
        <v>100</v>
      </c>
      <c r="D73" t="s">
        <v>106</v>
      </c>
      <c r="E73" t="s">
        <v>104</v>
      </c>
      <c r="F73" t="s">
        <v>6</v>
      </c>
      <c r="G73" s="107">
        <v>3321000</v>
      </c>
      <c r="H73" s="107">
        <v>4.13</v>
      </c>
    </row>
    <row r="74" spans="1:8" hidden="1" x14ac:dyDescent="0.25">
      <c r="A74">
        <v>1411</v>
      </c>
      <c r="B74" t="s">
        <v>110</v>
      </c>
      <c r="C74" t="s">
        <v>100</v>
      </c>
      <c r="D74" t="s">
        <v>101</v>
      </c>
      <c r="E74" t="s">
        <v>102</v>
      </c>
      <c r="F74" t="s">
        <v>6</v>
      </c>
      <c r="G74" s="107">
        <v>136500000</v>
      </c>
      <c r="H74" s="107">
        <v>4.13</v>
      </c>
    </row>
    <row r="75" spans="1:8" hidden="1" x14ac:dyDescent="0.25">
      <c r="A75">
        <v>1412</v>
      </c>
      <c r="B75" t="s">
        <v>110</v>
      </c>
      <c r="C75" t="s">
        <v>100</v>
      </c>
      <c r="D75" t="s">
        <v>103</v>
      </c>
      <c r="E75" t="s">
        <v>104</v>
      </c>
      <c r="F75" t="s">
        <v>6</v>
      </c>
      <c r="G75" s="107">
        <v>52300000</v>
      </c>
      <c r="H75" s="107">
        <v>4.13</v>
      </c>
    </row>
    <row r="76" spans="1:8" x14ac:dyDescent="0.25">
      <c r="A76">
        <v>1413</v>
      </c>
      <c r="B76" t="s">
        <v>110</v>
      </c>
      <c r="C76" t="s">
        <v>100</v>
      </c>
      <c r="D76" t="s">
        <v>105</v>
      </c>
      <c r="E76" t="s">
        <v>104</v>
      </c>
      <c r="F76" t="s">
        <v>6</v>
      </c>
      <c r="G76" s="107">
        <v>68290000</v>
      </c>
      <c r="H76" s="107">
        <v>4.13</v>
      </c>
    </row>
    <row r="77" spans="1:8" x14ac:dyDescent="0.25">
      <c r="A77">
        <v>1416</v>
      </c>
      <c r="B77" t="s">
        <v>110</v>
      </c>
      <c r="C77" t="s">
        <v>100</v>
      </c>
      <c r="D77" t="s">
        <v>106</v>
      </c>
      <c r="E77" t="s">
        <v>104</v>
      </c>
      <c r="F77" t="s">
        <v>6</v>
      </c>
      <c r="G77" s="107">
        <v>3007000</v>
      </c>
      <c r="H77" s="107">
        <v>4.13</v>
      </c>
    </row>
    <row r="78" spans="1:8" hidden="1" x14ac:dyDescent="0.25">
      <c r="A78">
        <v>1489</v>
      </c>
      <c r="B78" t="s">
        <v>111</v>
      </c>
      <c r="C78" t="s">
        <v>100</v>
      </c>
      <c r="D78" t="s">
        <v>101</v>
      </c>
      <c r="E78" t="s">
        <v>102</v>
      </c>
      <c r="F78" t="s">
        <v>6</v>
      </c>
      <c r="G78" s="107">
        <v>177300000</v>
      </c>
      <c r="H78" s="107">
        <v>4.12</v>
      </c>
    </row>
    <row r="79" spans="1:8" hidden="1" x14ac:dyDescent="0.25">
      <c r="A79">
        <v>1490</v>
      </c>
      <c r="B79" t="s">
        <v>111</v>
      </c>
      <c r="C79" t="s">
        <v>100</v>
      </c>
      <c r="D79" t="s">
        <v>103</v>
      </c>
      <c r="E79" t="s">
        <v>104</v>
      </c>
      <c r="F79" t="s">
        <v>6</v>
      </c>
      <c r="G79" s="107">
        <v>64440000</v>
      </c>
      <c r="H79" s="107">
        <v>4.12</v>
      </c>
    </row>
    <row r="80" spans="1:8" x14ac:dyDescent="0.25">
      <c r="A80">
        <v>1491</v>
      </c>
      <c r="B80" t="s">
        <v>111</v>
      </c>
      <c r="C80" t="s">
        <v>100</v>
      </c>
      <c r="D80" t="s">
        <v>105</v>
      </c>
      <c r="E80" t="s">
        <v>104</v>
      </c>
      <c r="F80" t="s">
        <v>6</v>
      </c>
      <c r="G80" s="107">
        <v>83870000</v>
      </c>
      <c r="H80" s="107">
        <v>4.12</v>
      </c>
    </row>
    <row r="81" spans="1:8" x14ac:dyDescent="0.25">
      <c r="A81">
        <v>1494</v>
      </c>
      <c r="B81" t="s">
        <v>111</v>
      </c>
      <c r="C81" t="s">
        <v>100</v>
      </c>
      <c r="D81" t="s">
        <v>106</v>
      </c>
      <c r="E81" t="s">
        <v>104</v>
      </c>
      <c r="F81" t="s">
        <v>6</v>
      </c>
      <c r="G81" s="107">
        <v>3058000</v>
      </c>
      <c r="H81" s="107">
        <v>4.1100000000000003</v>
      </c>
    </row>
    <row r="82" spans="1:8" hidden="1" x14ac:dyDescent="0.25">
      <c r="A82">
        <v>1567</v>
      </c>
      <c r="B82" t="s">
        <v>112</v>
      </c>
      <c r="C82" t="s">
        <v>100</v>
      </c>
      <c r="D82" t="s">
        <v>101</v>
      </c>
      <c r="E82" t="s">
        <v>102</v>
      </c>
      <c r="F82" t="s">
        <v>6</v>
      </c>
      <c r="G82" s="107">
        <v>225400000</v>
      </c>
      <c r="H82" s="107">
        <v>4.13</v>
      </c>
    </row>
    <row r="83" spans="1:8" hidden="1" x14ac:dyDescent="0.25">
      <c r="A83">
        <v>1568</v>
      </c>
      <c r="B83" t="s">
        <v>112</v>
      </c>
      <c r="C83" t="s">
        <v>100</v>
      </c>
      <c r="D83" t="s">
        <v>103</v>
      </c>
      <c r="E83" t="s">
        <v>104</v>
      </c>
      <c r="F83" t="s">
        <v>6</v>
      </c>
      <c r="G83" s="107">
        <v>84860000</v>
      </c>
      <c r="H83" s="107">
        <v>4.13</v>
      </c>
    </row>
    <row r="84" spans="1:8" x14ac:dyDescent="0.25">
      <c r="A84">
        <v>1569</v>
      </c>
      <c r="B84" t="s">
        <v>112</v>
      </c>
      <c r="C84" t="s">
        <v>100</v>
      </c>
      <c r="D84" t="s">
        <v>105</v>
      </c>
      <c r="E84" t="s">
        <v>104</v>
      </c>
      <c r="F84" t="s">
        <v>6</v>
      </c>
      <c r="G84" s="107">
        <v>112000000</v>
      </c>
      <c r="H84" s="107">
        <v>4.13</v>
      </c>
    </row>
    <row r="85" spans="1:8" x14ac:dyDescent="0.25">
      <c r="A85">
        <v>1572</v>
      </c>
      <c r="B85" t="s">
        <v>112</v>
      </c>
      <c r="C85" t="s">
        <v>100</v>
      </c>
      <c r="D85" t="s">
        <v>106</v>
      </c>
      <c r="E85" t="s">
        <v>104</v>
      </c>
      <c r="F85" t="s">
        <v>6</v>
      </c>
      <c r="G85" s="107">
        <v>2677000</v>
      </c>
      <c r="H85" s="107">
        <v>4.12</v>
      </c>
    </row>
    <row r="86" spans="1:8" hidden="1" x14ac:dyDescent="0.25">
      <c r="A86">
        <v>1645</v>
      </c>
      <c r="B86" t="s">
        <v>113</v>
      </c>
      <c r="C86" t="s">
        <v>100</v>
      </c>
      <c r="D86" t="s">
        <v>101</v>
      </c>
      <c r="E86" t="s">
        <v>102</v>
      </c>
      <c r="F86" t="s">
        <v>6</v>
      </c>
      <c r="G86" s="107">
        <v>336300000</v>
      </c>
      <c r="H86" s="107">
        <v>4.1399999999999997</v>
      </c>
    </row>
    <row r="87" spans="1:8" hidden="1" x14ac:dyDescent="0.25">
      <c r="A87">
        <v>1646</v>
      </c>
      <c r="B87" t="s">
        <v>113</v>
      </c>
      <c r="C87" t="s">
        <v>100</v>
      </c>
      <c r="D87" t="s">
        <v>103</v>
      </c>
      <c r="E87" t="s">
        <v>104</v>
      </c>
      <c r="F87" t="s">
        <v>6</v>
      </c>
      <c r="G87" s="107">
        <v>114200000</v>
      </c>
      <c r="H87" s="107">
        <v>4.1399999999999997</v>
      </c>
    </row>
    <row r="88" spans="1:8" x14ac:dyDescent="0.25">
      <c r="A88">
        <v>1647</v>
      </c>
      <c r="B88" t="s">
        <v>113</v>
      </c>
      <c r="C88" t="s">
        <v>100</v>
      </c>
      <c r="D88" t="s">
        <v>105</v>
      </c>
      <c r="E88" t="s">
        <v>104</v>
      </c>
      <c r="F88" t="s">
        <v>6</v>
      </c>
      <c r="G88" s="107">
        <v>158500000</v>
      </c>
      <c r="H88" s="107">
        <v>4.1399999999999997</v>
      </c>
    </row>
    <row r="89" spans="1:8" x14ac:dyDescent="0.25">
      <c r="A89">
        <v>1650</v>
      </c>
      <c r="B89" t="s">
        <v>113</v>
      </c>
      <c r="C89" t="s">
        <v>100</v>
      </c>
      <c r="D89" t="s">
        <v>106</v>
      </c>
      <c r="E89" t="s">
        <v>104</v>
      </c>
      <c r="F89" t="s">
        <v>6</v>
      </c>
      <c r="G89" s="107">
        <v>2619000</v>
      </c>
      <c r="H89" s="107">
        <v>4.1399999999999997</v>
      </c>
    </row>
    <row r="90" spans="1:8" hidden="1" x14ac:dyDescent="0.25">
      <c r="A90">
        <v>1723</v>
      </c>
      <c r="B90" t="s">
        <v>114</v>
      </c>
      <c r="C90" t="s">
        <v>100</v>
      </c>
      <c r="D90" t="s">
        <v>101</v>
      </c>
      <c r="E90" t="s">
        <v>102</v>
      </c>
      <c r="F90" t="s">
        <v>6</v>
      </c>
      <c r="G90" s="107">
        <v>180600</v>
      </c>
      <c r="H90" s="107">
        <v>4.24</v>
      </c>
    </row>
    <row r="91" spans="1:8" hidden="1" x14ac:dyDescent="0.25">
      <c r="A91">
        <v>1724</v>
      </c>
      <c r="B91" t="s">
        <v>114</v>
      </c>
      <c r="C91" t="s">
        <v>100</v>
      </c>
      <c r="D91" t="s">
        <v>103</v>
      </c>
      <c r="E91" t="s">
        <v>104</v>
      </c>
      <c r="F91" t="s">
        <v>6</v>
      </c>
      <c r="G91" s="107">
        <v>40960</v>
      </c>
      <c r="H91" s="107">
        <v>4.21</v>
      </c>
    </row>
    <row r="92" spans="1:8" x14ac:dyDescent="0.25">
      <c r="A92">
        <v>1725</v>
      </c>
      <c r="B92" t="s">
        <v>114</v>
      </c>
      <c r="C92" t="s">
        <v>100</v>
      </c>
      <c r="D92" t="s">
        <v>105</v>
      </c>
      <c r="E92" t="s">
        <v>104</v>
      </c>
      <c r="F92" t="s">
        <v>6</v>
      </c>
      <c r="G92" s="107">
        <v>91630</v>
      </c>
      <c r="H92" s="107">
        <v>4.21</v>
      </c>
    </row>
    <row r="93" spans="1:8" x14ac:dyDescent="0.25">
      <c r="A93">
        <v>1728</v>
      </c>
      <c r="B93" t="s">
        <v>114</v>
      </c>
      <c r="C93" t="s">
        <v>100</v>
      </c>
      <c r="D93" t="s">
        <v>106</v>
      </c>
      <c r="E93" t="s">
        <v>104</v>
      </c>
      <c r="F93" t="s">
        <v>6</v>
      </c>
      <c r="G93" s="107">
        <v>1043</v>
      </c>
      <c r="H93" s="107">
        <v>4.16</v>
      </c>
    </row>
    <row r="94" spans="1:8" hidden="1" x14ac:dyDescent="0.25">
      <c r="A94">
        <v>1801</v>
      </c>
      <c r="B94" t="s">
        <v>114</v>
      </c>
      <c r="C94" t="s">
        <v>100</v>
      </c>
      <c r="D94" t="s">
        <v>101</v>
      </c>
      <c r="E94" t="s">
        <v>102</v>
      </c>
      <c r="F94" t="s">
        <v>6</v>
      </c>
      <c r="G94" s="107">
        <v>68800</v>
      </c>
      <c r="H94" s="107">
        <v>4.26</v>
      </c>
    </row>
    <row r="95" spans="1:8" hidden="1" x14ac:dyDescent="0.25">
      <c r="A95">
        <v>1802</v>
      </c>
      <c r="B95" t="s">
        <v>114</v>
      </c>
      <c r="C95" t="s">
        <v>100</v>
      </c>
      <c r="D95" t="s">
        <v>103</v>
      </c>
      <c r="E95" t="s">
        <v>104</v>
      </c>
      <c r="F95" t="s">
        <v>6</v>
      </c>
      <c r="G95" s="107">
        <v>29180</v>
      </c>
      <c r="H95" s="107">
        <v>4.25</v>
      </c>
    </row>
    <row r="96" spans="1:8" x14ac:dyDescent="0.25">
      <c r="A96">
        <v>1803</v>
      </c>
      <c r="B96" t="s">
        <v>114</v>
      </c>
      <c r="C96" t="s">
        <v>100</v>
      </c>
      <c r="D96" t="s">
        <v>105</v>
      </c>
      <c r="E96" t="s">
        <v>104</v>
      </c>
      <c r="F96" t="s">
        <v>6</v>
      </c>
      <c r="G96" s="107">
        <v>40020</v>
      </c>
      <c r="H96" s="107">
        <v>4.24</v>
      </c>
    </row>
    <row r="97" spans="1:8" x14ac:dyDescent="0.25">
      <c r="A97">
        <v>1806</v>
      </c>
      <c r="B97" t="s">
        <v>114</v>
      </c>
      <c r="C97" t="s">
        <v>100</v>
      </c>
      <c r="D97" t="s">
        <v>106</v>
      </c>
      <c r="E97" t="s">
        <v>104</v>
      </c>
      <c r="F97" t="s">
        <v>6</v>
      </c>
      <c r="G97" s="107">
        <v>1041</v>
      </c>
      <c r="H97" s="107">
        <v>4.24</v>
      </c>
    </row>
    <row r="98" spans="1:8" hidden="1" x14ac:dyDescent="0.25">
      <c r="A98">
        <v>1879</v>
      </c>
      <c r="B98" t="s">
        <v>117</v>
      </c>
      <c r="C98" t="s">
        <v>100</v>
      </c>
      <c r="D98" t="s">
        <v>101</v>
      </c>
      <c r="E98" t="s">
        <v>102</v>
      </c>
      <c r="F98" t="s">
        <v>6</v>
      </c>
      <c r="G98" s="107">
        <v>76520</v>
      </c>
      <c r="H98" s="107">
        <v>4.16</v>
      </c>
    </row>
    <row r="99" spans="1:8" hidden="1" x14ac:dyDescent="0.25">
      <c r="A99">
        <v>1880</v>
      </c>
      <c r="B99" t="s">
        <v>117</v>
      </c>
      <c r="C99" t="s">
        <v>100</v>
      </c>
      <c r="D99" t="s">
        <v>103</v>
      </c>
      <c r="E99" t="s">
        <v>104</v>
      </c>
      <c r="F99" t="s">
        <v>6</v>
      </c>
      <c r="G99" s="107">
        <v>35650</v>
      </c>
      <c r="H99" s="107">
        <v>4.1500000000000004</v>
      </c>
    </row>
    <row r="100" spans="1:8" x14ac:dyDescent="0.25">
      <c r="A100">
        <v>1881</v>
      </c>
      <c r="B100" t="s">
        <v>117</v>
      </c>
      <c r="C100" t="s">
        <v>100</v>
      </c>
      <c r="D100" t="s">
        <v>105</v>
      </c>
      <c r="E100" t="s">
        <v>104</v>
      </c>
      <c r="F100" t="s">
        <v>6</v>
      </c>
      <c r="G100" s="107">
        <v>37110</v>
      </c>
      <c r="H100" s="107">
        <v>4.1500000000000004</v>
      </c>
    </row>
    <row r="101" spans="1:8" x14ac:dyDescent="0.25">
      <c r="A101">
        <v>1884</v>
      </c>
      <c r="B101" t="s">
        <v>117</v>
      </c>
      <c r="C101" t="s">
        <v>100</v>
      </c>
      <c r="D101" t="s">
        <v>106</v>
      </c>
      <c r="E101" t="s">
        <v>104</v>
      </c>
      <c r="F101" t="s">
        <v>6</v>
      </c>
      <c r="G101" s="107">
        <v>4448000</v>
      </c>
      <c r="H101" s="107">
        <v>4.1500000000000004</v>
      </c>
    </row>
    <row r="102" spans="1:8" hidden="1" x14ac:dyDescent="0.25">
      <c r="A102">
        <v>1957</v>
      </c>
      <c r="B102" t="s">
        <v>118</v>
      </c>
      <c r="C102" t="s">
        <v>100</v>
      </c>
      <c r="D102" t="s">
        <v>101</v>
      </c>
      <c r="E102" t="s">
        <v>102</v>
      </c>
      <c r="F102" t="s">
        <v>6</v>
      </c>
      <c r="G102" s="107">
        <v>50200000</v>
      </c>
      <c r="H102" s="107">
        <v>4.1399999999999997</v>
      </c>
    </row>
    <row r="103" spans="1:8" hidden="1" x14ac:dyDescent="0.25">
      <c r="A103">
        <v>1958</v>
      </c>
      <c r="B103" t="s">
        <v>118</v>
      </c>
      <c r="C103" t="s">
        <v>100</v>
      </c>
      <c r="D103" t="s">
        <v>103</v>
      </c>
      <c r="E103" t="s">
        <v>104</v>
      </c>
      <c r="F103" t="s">
        <v>6</v>
      </c>
      <c r="G103" s="107">
        <v>16720000</v>
      </c>
      <c r="H103" s="107">
        <v>4.1399999999999997</v>
      </c>
    </row>
    <row r="104" spans="1:8" x14ac:dyDescent="0.25">
      <c r="A104">
        <v>1959</v>
      </c>
      <c r="B104" t="s">
        <v>118</v>
      </c>
      <c r="C104" t="s">
        <v>100</v>
      </c>
      <c r="D104" t="s">
        <v>105</v>
      </c>
      <c r="E104" t="s">
        <v>104</v>
      </c>
      <c r="F104" t="s">
        <v>6</v>
      </c>
      <c r="G104" s="107">
        <v>23860000</v>
      </c>
      <c r="H104" s="107">
        <v>4.1399999999999997</v>
      </c>
    </row>
    <row r="105" spans="1:8" x14ac:dyDescent="0.25">
      <c r="A105">
        <v>1962</v>
      </c>
      <c r="B105" t="s">
        <v>118</v>
      </c>
      <c r="C105" t="s">
        <v>100</v>
      </c>
      <c r="D105" t="s">
        <v>106</v>
      </c>
      <c r="E105" t="s">
        <v>104</v>
      </c>
      <c r="F105" t="s">
        <v>6</v>
      </c>
      <c r="G105" s="107">
        <v>3695000</v>
      </c>
      <c r="H105" s="107">
        <v>4.1399999999999997</v>
      </c>
    </row>
    <row r="106" spans="1:8" hidden="1" x14ac:dyDescent="0.25">
      <c r="A106">
        <v>2035</v>
      </c>
      <c r="B106" t="s">
        <v>114</v>
      </c>
      <c r="C106" t="s">
        <v>100</v>
      </c>
      <c r="D106" t="s">
        <v>101</v>
      </c>
      <c r="E106" t="s">
        <v>102</v>
      </c>
      <c r="F106" t="s">
        <v>6</v>
      </c>
      <c r="G106" s="107">
        <v>80260</v>
      </c>
      <c r="H106" s="107">
        <v>4.2300000000000004</v>
      </c>
    </row>
    <row r="107" spans="1:8" hidden="1" x14ac:dyDescent="0.25">
      <c r="A107">
        <v>2036</v>
      </c>
      <c r="B107" t="s">
        <v>114</v>
      </c>
      <c r="C107" t="s">
        <v>100</v>
      </c>
      <c r="D107" t="s">
        <v>103</v>
      </c>
      <c r="E107" t="s">
        <v>104</v>
      </c>
      <c r="F107" t="s">
        <v>6</v>
      </c>
      <c r="G107" s="107">
        <v>1251</v>
      </c>
      <c r="H107" s="107">
        <v>4.12</v>
      </c>
    </row>
    <row r="108" spans="1:8" x14ac:dyDescent="0.25">
      <c r="A108">
        <v>2037</v>
      </c>
      <c r="B108" t="s">
        <v>114</v>
      </c>
      <c r="C108" t="s">
        <v>100</v>
      </c>
      <c r="D108" t="s">
        <v>105</v>
      </c>
      <c r="E108" t="s">
        <v>104</v>
      </c>
      <c r="F108" t="s">
        <v>6</v>
      </c>
      <c r="G108" s="107">
        <v>1042</v>
      </c>
      <c r="H108" s="107">
        <v>4.1500000000000004</v>
      </c>
    </row>
    <row r="109" spans="1:8" x14ac:dyDescent="0.25">
      <c r="A109">
        <v>2040</v>
      </c>
      <c r="B109" t="s">
        <v>114</v>
      </c>
      <c r="C109" t="s">
        <v>100</v>
      </c>
      <c r="D109" t="s">
        <v>106</v>
      </c>
      <c r="E109" t="s">
        <v>104</v>
      </c>
      <c r="F109" t="s">
        <v>6</v>
      </c>
      <c r="G109" s="107">
        <v>1042</v>
      </c>
      <c r="H109" s="107">
        <v>4.22</v>
      </c>
    </row>
    <row r="110" spans="1:8" hidden="1" x14ac:dyDescent="0.25">
      <c r="A110">
        <v>2113</v>
      </c>
      <c r="B110" t="s">
        <v>119</v>
      </c>
      <c r="C110" t="s">
        <v>100</v>
      </c>
      <c r="D110" t="s">
        <v>101</v>
      </c>
      <c r="E110" t="s">
        <v>102</v>
      </c>
      <c r="F110" t="s">
        <v>6</v>
      </c>
      <c r="G110" s="107">
        <v>8151000</v>
      </c>
      <c r="H110" s="107">
        <v>4.17</v>
      </c>
    </row>
    <row r="111" spans="1:8" hidden="1" x14ac:dyDescent="0.25">
      <c r="A111">
        <v>2114</v>
      </c>
      <c r="B111" t="s">
        <v>119</v>
      </c>
      <c r="C111" t="s">
        <v>100</v>
      </c>
      <c r="D111" t="s">
        <v>103</v>
      </c>
      <c r="E111" t="s">
        <v>104</v>
      </c>
      <c r="F111" t="s">
        <v>6</v>
      </c>
      <c r="G111" s="107">
        <v>2721000</v>
      </c>
      <c r="H111" s="107">
        <v>4.17</v>
      </c>
    </row>
    <row r="112" spans="1:8" x14ac:dyDescent="0.25">
      <c r="A112">
        <v>2115</v>
      </c>
      <c r="B112" t="s">
        <v>119</v>
      </c>
      <c r="C112" t="s">
        <v>100</v>
      </c>
      <c r="D112" t="s">
        <v>105</v>
      </c>
      <c r="E112" t="s">
        <v>104</v>
      </c>
      <c r="F112" t="s">
        <v>6</v>
      </c>
      <c r="G112" s="107">
        <v>3778000</v>
      </c>
      <c r="H112" s="107">
        <v>4.17</v>
      </c>
    </row>
    <row r="113" spans="1:8" x14ac:dyDescent="0.25">
      <c r="A113">
        <v>2118</v>
      </c>
      <c r="B113" t="s">
        <v>119</v>
      </c>
      <c r="C113" t="s">
        <v>100</v>
      </c>
      <c r="D113" t="s">
        <v>106</v>
      </c>
      <c r="E113" t="s">
        <v>104</v>
      </c>
      <c r="F113" t="s">
        <v>6</v>
      </c>
      <c r="G113" s="107">
        <v>3661000</v>
      </c>
      <c r="H113" s="107">
        <v>4.17</v>
      </c>
    </row>
    <row r="114" spans="1:8" hidden="1" x14ac:dyDescent="0.25">
      <c r="A114">
        <v>2191</v>
      </c>
      <c r="B114" t="s">
        <v>120</v>
      </c>
      <c r="C114" t="s">
        <v>100</v>
      </c>
      <c r="D114" t="s">
        <v>101</v>
      </c>
      <c r="E114" t="s">
        <v>102</v>
      </c>
      <c r="F114" t="s">
        <v>6</v>
      </c>
      <c r="G114" s="107">
        <v>6888000</v>
      </c>
      <c r="H114" s="107">
        <v>4.16</v>
      </c>
    </row>
    <row r="115" spans="1:8" hidden="1" x14ac:dyDescent="0.25">
      <c r="A115">
        <v>2192</v>
      </c>
      <c r="B115" t="s">
        <v>120</v>
      </c>
      <c r="C115" t="s">
        <v>100</v>
      </c>
      <c r="D115" t="s">
        <v>103</v>
      </c>
      <c r="E115" t="s">
        <v>104</v>
      </c>
      <c r="F115" t="s">
        <v>6</v>
      </c>
      <c r="G115" s="107">
        <v>2440000</v>
      </c>
      <c r="H115" s="107">
        <v>4.1500000000000004</v>
      </c>
    </row>
    <row r="116" spans="1:8" x14ac:dyDescent="0.25">
      <c r="A116">
        <v>2193</v>
      </c>
      <c r="B116" t="s">
        <v>120</v>
      </c>
      <c r="C116" t="s">
        <v>100</v>
      </c>
      <c r="D116" t="s">
        <v>105</v>
      </c>
      <c r="E116" t="s">
        <v>104</v>
      </c>
      <c r="F116" t="s">
        <v>6</v>
      </c>
      <c r="G116" s="107">
        <v>3226000</v>
      </c>
      <c r="H116" s="107">
        <v>4.1500000000000004</v>
      </c>
    </row>
    <row r="117" spans="1:8" x14ac:dyDescent="0.25">
      <c r="A117">
        <v>2196</v>
      </c>
      <c r="B117" t="s">
        <v>120</v>
      </c>
      <c r="C117" t="s">
        <v>100</v>
      </c>
      <c r="D117" t="s">
        <v>106</v>
      </c>
      <c r="E117" t="s">
        <v>104</v>
      </c>
      <c r="F117" t="s">
        <v>6</v>
      </c>
      <c r="G117" s="107">
        <v>3235000</v>
      </c>
      <c r="H117" s="107">
        <v>4.1500000000000004</v>
      </c>
    </row>
    <row r="118" spans="1:8" hidden="1" x14ac:dyDescent="0.25">
      <c r="A118">
        <v>2269</v>
      </c>
      <c r="B118" t="s">
        <v>121</v>
      </c>
      <c r="C118" t="s">
        <v>100</v>
      </c>
      <c r="D118" t="s">
        <v>101</v>
      </c>
      <c r="E118" t="s">
        <v>102</v>
      </c>
      <c r="F118" t="s">
        <v>6</v>
      </c>
      <c r="G118" s="107">
        <v>14750000</v>
      </c>
      <c r="H118" s="107">
        <v>4.1500000000000004</v>
      </c>
    </row>
    <row r="119" spans="1:8" hidden="1" x14ac:dyDescent="0.25">
      <c r="A119">
        <v>2270</v>
      </c>
      <c r="B119" t="s">
        <v>121</v>
      </c>
      <c r="C119" t="s">
        <v>100</v>
      </c>
      <c r="D119" t="s">
        <v>103</v>
      </c>
      <c r="E119" t="s">
        <v>104</v>
      </c>
      <c r="F119" t="s">
        <v>6</v>
      </c>
      <c r="G119" s="107">
        <v>5243000</v>
      </c>
      <c r="H119" s="107">
        <v>4.1500000000000004</v>
      </c>
    </row>
    <row r="120" spans="1:8" x14ac:dyDescent="0.25">
      <c r="A120">
        <v>2271</v>
      </c>
      <c r="B120" t="s">
        <v>121</v>
      </c>
      <c r="C120" t="s">
        <v>100</v>
      </c>
      <c r="D120" t="s">
        <v>105</v>
      </c>
      <c r="E120" t="s">
        <v>104</v>
      </c>
      <c r="F120" t="s">
        <v>6</v>
      </c>
      <c r="G120" s="107">
        <v>7114000</v>
      </c>
      <c r="H120" s="107">
        <v>4.1500000000000004</v>
      </c>
    </row>
    <row r="121" spans="1:8" x14ac:dyDescent="0.25">
      <c r="A121">
        <v>2274</v>
      </c>
      <c r="B121" t="s">
        <v>121</v>
      </c>
      <c r="C121" t="s">
        <v>100</v>
      </c>
      <c r="D121" t="s">
        <v>106</v>
      </c>
      <c r="E121" t="s">
        <v>104</v>
      </c>
      <c r="F121" t="s">
        <v>6</v>
      </c>
      <c r="G121" s="107">
        <v>3483000</v>
      </c>
      <c r="H121" s="107">
        <v>4.1500000000000004</v>
      </c>
    </row>
    <row r="122" spans="1:8" hidden="1" x14ac:dyDescent="0.25">
      <c r="A122">
        <v>2347</v>
      </c>
      <c r="B122" t="s">
        <v>122</v>
      </c>
      <c r="C122" t="s">
        <v>100</v>
      </c>
      <c r="D122" t="s">
        <v>101</v>
      </c>
      <c r="E122" t="s">
        <v>102</v>
      </c>
      <c r="F122" t="s">
        <v>6</v>
      </c>
      <c r="G122" s="107">
        <v>23400000</v>
      </c>
      <c r="H122" s="107">
        <v>4.16</v>
      </c>
    </row>
    <row r="123" spans="1:8" hidden="1" x14ac:dyDescent="0.25">
      <c r="A123">
        <v>2348</v>
      </c>
      <c r="B123" t="s">
        <v>122</v>
      </c>
      <c r="C123" t="s">
        <v>100</v>
      </c>
      <c r="D123" t="s">
        <v>103</v>
      </c>
      <c r="E123" t="s">
        <v>104</v>
      </c>
      <c r="F123" t="s">
        <v>6</v>
      </c>
      <c r="G123" s="107">
        <v>8329000</v>
      </c>
      <c r="H123" s="107">
        <v>4.1500000000000004</v>
      </c>
    </row>
    <row r="124" spans="1:8" x14ac:dyDescent="0.25">
      <c r="A124">
        <v>2349</v>
      </c>
      <c r="B124" t="s">
        <v>122</v>
      </c>
      <c r="C124" t="s">
        <v>100</v>
      </c>
      <c r="D124" t="s">
        <v>105</v>
      </c>
      <c r="E124" t="s">
        <v>104</v>
      </c>
      <c r="F124" t="s">
        <v>6</v>
      </c>
      <c r="G124" s="107">
        <v>10950000</v>
      </c>
      <c r="H124" s="107">
        <v>4.1500000000000004</v>
      </c>
    </row>
    <row r="125" spans="1:8" x14ac:dyDescent="0.25">
      <c r="A125">
        <v>2352</v>
      </c>
      <c r="B125" t="s">
        <v>122</v>
      </c>
      <c r="C125" t="s">
        <v>100</v>
      </c>
      <c r="D125" t="s">
        <v>106</v>
      </c>
      <c r="E125" t="s">
        <v>104</v>
      </c>
      <c r="F125" t="s">
        <v>6</v>
      </c>
      <c r="G125" s="107">
        <v>3411000</v>
      </c>
      <c r="H125" s="107">
        <v>4.1500000000000004</v>
      </c>
    </row>
    <row r="126" spans="1:8" hidden="1" x14ac:dyDescent="0.25">
      <c r="A126">
        <v>2425</v>
      </c>
      <c r="B126" t="s">
        <v>123</v>
      </c>
      <c r="C126" t="s">
        <v>100</v>
      </c>
      <c r="D126" t="s">
        <v>101</v>
      </c>
      <c r="E126" t="s">
        <v>102</v>
      </c>
      <c r="F126" t="s">
        <v>6</v>
      </c>
      <c r="G126" s="107">
        <v>35220000</v>
      </c>
      <c r="H126" s="107">
        <v>4.1500000000000004</v>
      </c>
    </row>
    <row r="127" spans="1:8" hidden="1" x14ac:dyDescent="0.25">
      <c r="A127">
        <v>2426</v>
      </c>
      <c r="B127" t="s">
        <v>123</v>
      </c>
      <c r="C127" t="s">
        <v>100</v>
      </c>
      <c r="D127" t="s">
        <v>103</v>
      </c>
      <c r="E127" t="s">
        <v>104</v>
      </c>
      <c r="F127" t="s">
        <v>6</v>
      </c>
      <c r="G127" s="107">
        <v>12840000</v>
      </c>
      <c r="H127" s="107">
        <v>4.1500000000000004</v>
      </c>
    </row>
    <row r="128" spans="1:8" x14ac:dyDescent="0.25">
      <c r="A128">
        <v>2427</v>
      </c>
      <c r="B128" t="s">
        <v>123</v>
      </c>
      <c r="C128" t="s">
        <v>100</v>
      </c>
      <c r="D128" t="s">
        <v>105</v>
      </c>
      <c r="E128" t="s">
        <v>104</v>
      </c>
      <c r="F128" t="s">
        <v>6</v>
      </c>
      <c r="G128" s="107">
        <v>16930000</v>
      </c>
      <c r="H128" s="107">
        <v>4.1500000000000004</v>
      </c>
    </row>
    <row r="129" spans="1:8" x14ac:dyDescent="0.25">
      <c r="A129">
        <v>2430</v>
      </c>
      <c r="B129" t="s">
        <v>123</v>
      </c>
      <c r="C129" t="s">
        <v>100</v>
      </c>
      <c r="D129" t="s">
        <v>106</v>
      </c>
      <c r="E129" t="s">
        <v>104</v>
      </c>
      <c r="F129" t="s">
        <v>6</v>
      </c>
      <c r="G129" s="107">
        <v>3122000</v>
      </c>
      <c r="H129" s="107">
        <v>4.1500000000000004</v>
      </c>
    </row>
    <row r="130" spans="1:8" hidden="1" x14ac:dyDescent="0.25">
      <c r="A130">
        <v>2503</v>
      </c>
      <c r="B130" t="s">
        <v>124</v>
      </c>
      <c r="C130" t="s">
        <v>100</v>
      </c>
      <c r="D130" t="s">
        <v>101</v>
      </c>
      <c r="E130" t="s">
        <v>102</v>
      </c>
      <c r="F130" t="s">
        <v>6</v>
      </c>
      <c r="G130" s="107">
        <v>66270000</v>
      </c>
      <c r="H130" s="107">
        <v>4.16</v>
      </c>
    </row>
    <row r="131" spans="1:8" hidden="1" x14ac:dyDescent="0.25">
      <c r="A131">
        <v>2504</v>
      </c>
      <c r="B131" t="s">
        <v>124</v>
      </c>
      <c r="C131" t="s">
        <v>100</v>
      </c>
      <c r="D131" t="s">
        <v>103</v>
      </c>
      <c r="E131" t="s">
        <v>104</v>
      </c>
      <c r="F131" t="s">
        <v>6</v>
      </c>
      <c r="G131" s="107">
        <v>24310000</v>
      </c>
      <c r="H131" s="107">
        <v>4.16</v>
      </c>
    </row>
    <row r="132" spans="1:8" x14ac:dyDescent="0.25">
      <c r="A132">
        <v>2505</v>
      </c>
      <c r="B132" t="s">
        <v>124</v>
      </c>
      <c r="C132" t="s">
        <v>100</v>
      </c>
      <c r="D132" t="s">
        <v>105</v>
      </c>
      <c r="E132" t="s">
        <v>104</v>
      </c>
      <c r="F132" t="s">
        <v>6</v>
      </c>
      <c r="G132" s="107">
        <v>32950000</v>
      </c>
      <c r="H132" s="107">
        <v>4.16</v>
      </c>
    </row>
    <row r="133" spans="1:8" x14ac:dyDescent="0.25">
      <c r="A133">
        <v>2508</v>
      </c>
      <c r="B133" t="s">
        <v>124</v>
      </c>
      <c r="C133" t="s">
        <v>100</v>
      </c>
      <c r="D133" t="s">
        <v>106</v>
      </c>
      <c r="E133" t="s">
        <v>104</v>
      </c>
      <c r="F133" t="s">
        <v>6</v>
      </c>
      <c r="G133" s="107">
        <v>3042000</v>
      </c>
      <c r="H133" s="107">
        <v>4.1500000000000004</v>
      </c>
    </row>
    <row r="134" spans="1:8" hidden="1" x14ac:dyDescent="0.25">
      <c r="A134">
        <v>2581</v>
      </c>
      <c r="B134" t="s">
        <v>125</v>
      </c>
      <c r="C134" t="s">
        <v>100</v>
      </c>
      <c r="D134" t="s">
        <v>101</v>
      </c>
      <c r="E134" t="s">
        <v>102</v>
      </c>
      <c r="F134" t="s">
        <v>6</v>
      </c>
      <c r="G134" s="107">
        <v>142500000</v>
      </c>
      <c r="H134" s="107">
        <v>4.1399999999999997</v>
      </c>
    </row>
    <row r="135" spans="1:8" hidden="1" x14ac:dyDescent="0.25">
      <c r="A135">
        <v>2582</v>
      </c>
      <c r="B135" t="s">
        <v>125</v>
      </c>
      <c r="C135" t="s">
        <v>100</v>
      </c>
      <c r="D135" t="s">
        <v>103</v>
      </c>
      <c r="E135" t="s">
        <v>104</v>
      </c>
      <c r="F135" t="s">
        <v>6</v>
      </c>
      <c r="G135" s="107">
        <v>52320000</v>
      </c>
      <c r="H135" s="107">
        <v>4.1399999999999997</v>
      </c>
    </row>
    <row r="136" spans="1:8" x14ac:dyDescent="0.25">
      <c r="A136">
        <v>2583</v>
      </c>
      <c r="B136" t="s">
        <v>125</v>
      </c>
      <c r="C136" t="s">
        <v>100</v>
      </c>
      <c r="D136" t="s">
        <v>105</v>
      </c>
      <c r="E136" t="s">
        <v>104</v>
      </c>
      <c r="F136" t="s">
        <v>6</v>
      </c>
      <c r="G136" s="107">
        <v>70280000</v>
      </c>
      <c r="H136" s="107">
        <v>4.1399999999999997</v>
      </c>
    </row>
    <row r="137" spans="1:8" x14ac:dyDescent="0.25">
      <c r="A137">
        <v>2586</v>
      </c>
      <c r="B137" t="s">
        <v>125</v>
      </c>
      <c r="C137" t="s">
        <v>100</v>
      </c>
      <c r="D137" t="s">
        <v>106</v>
      </c>
      <c r="E137" t="s">
        <v>104</v>
      </c>
      <c r="F137" t="s">
        <v>6</v>
      </c>
      <c r="G137" s="107">
        <v>2783000</v>
      </c>
      <c r="H137" s="107">
        <v>4.13</v>
      </c>
    </row>
    <row r="138" spans="1:8" hidden="1" x14ac:dyDescent="0.25">
      <c r="A138">
        <v>2659</v>
      </c>
      <c r="B138" t="s">
        <v>114</v>
      </c>
      <c r="C138" t="s">
        <v>100</v>
      </c>
      <c r="D138" t="s">
        <v>101</v>
      </c>
      <c r="E138" t="s">
        <v>102</v>
      </c>
      <c r="F138" t="s">
        <v>6</v>
      </c>
      <c r="G138" s="107">
        <v>51080</v>
      </c>
      <c r="H138" s="107">
        <v>4.24</v>
      </c>
    </row>
    <row r="139" spans="1:8" hidden="1" x14ac:dyDescent="0.25">
      <c r="A139">
        <v>2660</v>
      </c>
      <c r="B139" t="s">
        <v>114</v>
      </c>
      <c r="C139" t="s">
        <v>100</v>
      </c>
      <c r="D139" t="s">
        <v>103</v>
      </c>
      <c r="E139" t="s">
        <v>104</v>
      </c>
      <c r="F139" t="s">
        <v>6</v>
      </c>
      <c r="G139" s="107">
        <v>10630</v>
      </c>
      <c r="H139" s="107">
        <v>4.22</v>
      </c>
    </row>
    <row r="140" spans="1:8" x14ac:dyDescent="0.25">
      <c r="A140">
        <v>2661</v>
      </c>
      <c r="B140" t="s">
        <v>114</v>
      </c>
      <c r="C140" t="s">
        <v>100</v>
      </c>
      <c r="D140" t="s">
        <v>105</v>
      </c>
      <c r="E140" t="s">
        <v>104</v>
      </c>
      <c r="F140" t="s">
        <v>6</v>
      </c>
      <c r="G140" s="107">
        <v>1251</v>
      </c>
      <c r="H140" s="107">
        <v>4.16</v>
      </c>
    </row>
    <row r="141" spans="1:8" x14ac:dyDescent="0.25">
      <c r="A141">
        <v>2664</v>
      </c>
      <c r="B141" t="s">
        <v>114</v>
      </c>
      <c r="C141" t="s">
        <v>100</v>
      </c>
      <c r="D141" t="s">
        <v>106</v>
      </c>
      <c r="E141" t="s">
        <v>104</v>
      </c>
      <c r="F141" t="s">
        <v>6</v>
      </c>
      <c r="G141" s="107">
        <v>416.6</v>
      </c>
      <c r="H141" s="107">
        <v>4.1500000000000004</v>
      </c>
    </row>
    <row r="142" spans="1:8" hidden="1" x14ac:dyDescent="0.25">
      <c r="A142">
        <v>2737</v>
      </c>
      <c r="B142" t="s">
        <v>114</v>
      </c>
      <c r="C142" t="s">
        <v>100</v>
      </c>
      <c r="D142" t="s">
        <v>101</v>
      </c>
      <c r="E142" t="s">
        <v>102</v>
      </c>
      <c r="F142" t="s">
        <v>6</v>
      </c>
      <c r="G142" s="107">
        <v>1147</v>
      </c>
      <c r="H142" s="107">
        <v>4.13</v>
      </c>
    </row>
    <row r="143" spans="1:8" hidden="1" x14ac:dyDescent="0.25">
      <c r="A143">
        <v>2738</v>
      </c>
      <c r="B143" t="s">
        <v>114</v>
      </c>
      <c r="C143" t="s">
        <v>100</v>
      </c>
      <c r="D143" t="s">
        <v>103</v>
      </c>
      <c r="E143" t="s">
        <v>104</v>
      </c>
      <c r="F143" t="s">
        <v>6</v>
      </c>
      <c r="G143" s="107">
        <v>2501</v>
      </c>
      <c r="H143" s="107">
        <v>4.2</v>
      </c>
    </row>
    <row r="144" spans="1:8" x14ac:dyDescent="0.25">
      <c r="A144">
        <v>2739</v>
      </c>
      <c r="B144" t="s">
        <v>114</v>
      </c>
      <c r="C144" t="s">
        <v>100</v>
      </c>
      <c r="D144" t="s">
        <v>105</v>
      </c>
      <c r="E144" t="s">
        <v>104</v>
      </c>
      <c r="F144" t="s">
        <v>6</v>
      </c>
      <c r="G144" s="107">
        <v>7190</v>
      </c>
      <c r="H144" s="107">
        <v>4.21</v>
      </c>
    </row>
    <row r="145" spans="1:8" x14ac:dyDescent="0.25">
      <c r="A145">
        <v>2742</v>
      </c>
      <c r="B145" t="s">
        <v>114</v>
      </c>
      <c r="C145" t="s">
        <v>100</v>
      </c>
      <c r="D145" t="s">
        <v>106</v>
      </c>
      <c r="E145" t="s">
        <v>104</v>
      </c>
      <c r="F145" t="s">
        <v>6</v>
      </c>
      <c r="G145" s="107">
        <v>416.4</v>
      </c>
      <c r="H145" s="107">
        <v>4.34</v>
      </c>
    </row>
    <row r="146" spans="1:8" hidden="1" x14ac:dyDescent="0.25">
      <c r="A146">
        <v>2815</v>
      </c>
      <c r="B146" t="s">
        <v>126</v>
      </c>
      <c r="C146" t="s">
        <v>100</v>
      </c>
      <c r="D146" t="s">
        <v>101</v>
      </c>
      <c r="E146" t="s">
        <v>102</v>
      </c>
      <c r="F146" t="s">
        <v>6</v>
      </c>
      <c r="G146" s="107">
        <v>30020</v>
      </c>
      <c r="H146" s="107">
        <v>4.18</v>
      </c>
    </row>
    <row r="147" spans="1:8" hidden="1" x14ac:dyDescent="0.25">
      <c r="A147">
        <v>2816</v>
      </c>
      <c r="B147" t="s">
        <v>126</v>
      </c>
      <c r="C147" t="s">
        <v>100</v>
      </c>
      <c r="D147" t="s">
        <v>103</v>
      </c>
      <c r="E147" t="s">
        <v>104</v>
      </c>
      <c r="F147" t="s">
        <v>6</v>
      </c>
      <c r="G147" s="107">
        <v>36170</v>
      </c>
      <c r="H147" s="107">
        <v>4.1900000000000004</v>
      </c>
    </row>
    <row r="148" spans="1:8" x14ac:dyDescent="0.25">
      <c r="A148">
        <v>2817</v>
      </c>
      <c r="B148" t="s">
        <v>126</v>
      </c>
      <c r="C148" t="s">
        <v>100</v>
      </c>
      <c r="D148" t="s">
        <v>105</v>
      </c>
      <c r="E148" t="s">
        <v>104</v>
      </c>
      <c r="F148" t="s">
        <v>6</v>
      </c>
      <c r="G148" s="107">
        <v>20120</v>
      </c>
      <c r="H148" s="107">
        <v>4.18</v>
      </c>
    </row>
    <row r="149" spans="1:8" x14ac:dyDescent="0.25">
      <c r="A149">
        <v>2820</v>
      </c>
      <c r="B149" t="s">
        <v>126</v>
      </c>
      <c r="C149" t="s">
        <v>100</v>
      </c>
      <c r="D149" t="s">
        <v>106</v>
      </c>
      <c r="E149" t="s">
        <v>104</v>
      </c>
      <c r="F149" t="s">
        <v>6</v>
      </c>
      <c r="G149" s="107">
        <v>2935000</v>
      </c>
      <c r="H149" s="107">
        <v>4.17</v>
      </c>
    </row>
    <row r="150" spans="1:8" hidden="1" x14ac:dyDescent="0.25">
      <c r="A150">
        <v>2893</v>
      </c>
      <c r="B150" t="s">
        <v>127</v>
      </c>
      <c r="C150" t="s">
        <v>100</v>
      </c>
      <c r="D150" t="s">
        <v>101</v>
      </c>
      <c r="E150" t="s">
        <v>102</v>
      </c>
      <c r="F150" t="s">
        <v>6</v>
      </c>
      <c r="G150" s="107">
        <v>26970000</v>
      </c>
      <c r="H150" s="107">
        <v>4.1399999999999997</v>
      </c>
    </row>
    <row r="151" spans="1:8" hidden="1" x14ac:dyDescent="0.25">
      <c r="A151">
        <v>2894</v>
      </c>
      <c r="B151" t="s">
        <v>127</v>
      </c>
      <c r="C151" t="s">
        <v>100</v>
      </c>
      <c r="D151" t="s">
        <v>103</v>
      </c>
      <c r="E151" t="s">
        <v>104</v>
      </c>
      <c r="F151" t="s">
        <v>6</v>
      </c>
      <c r="G151" s="107">
        <v>9111000</v>
      </c>
      <c r="H151" s="107">
        <v>4.1399999999999997</v>
      </c>
    </row>
    <row r="152" spans="1:8" x14ac:dyDescent="0.25">
      <c r="A152">
        <v>2895</v>
      </c>
      <c r="B152" t="s">
        <v>127</v>
      </c>
      <c r="C152" t="s">
        <v>100</v>
      </c>
      <c r="D152" t="s">
        <v>105</v>
      </c>
      <c r="E152" t="s">
        <v>104</v>
      </c>
      <c r="F152" t="s">
        <v>6</v>
      </c>
      <c r="G152" s="107">
        <v>12290000</v>
      </c>
      <c r="H152" s="107">
        <v>4.1399999999999997</v>
      </c>
    </row>
    <row r="153" spans="1:8" x14ac:dyDescent="0.25">
      <c r="A153">
        <v>2898</v>
      </c>
      <c r="B153" t="s">
        <v>127</v>
      </c>
      <c r="C153" t="s">
        <v>100</v>
      </c>
      <c r="D153" t="s">
        <v>106</v>
      </c>
      <c r="E153" t="s">
        <v>104</v>
      </c>
      <c r="F153" t="s">
        <v>6</v>
      </c>
      <c r="G153" s="107">
        <v>2818000</v>
      </c>
      <c r="H153" s="107">
        <v>4.13</v>
      </c>
    </row>
    <row r="154" spans="1:8" hidden="1" x14ac:dyDescent="0.25">
      <c r="A154">
        <v>2971</v>
      </c>
      <c r="B154" t="s">
        <v>114</v>
      </c>
      <c r="C154" t="s">
        <v>100</v>
      </c>
      <c r="D154" t="s">
        <v>101</v>
      </c>
      <c r="E154" t="s">
        <v>102</v>
      </c>
      <c r="F154" t="s">
        <v>6</v>
      </c>
      <c r="G154" s="107">
        <v>1042</v>
      </c>
      <c r="H154" s="107">
        <v>4.17</v>
      </c>
    </row>
    <row r="155" spans="1:8" hidden="1" x14ac:dyDescent="0.25">
      <c r="A155">
        <v>2972</v>
      </c>
      <c r="B155" t="s">
        <v>114</v>
      </c>
      <c r="C155" t="s">
        <v>100</v>
      </c>
      <c r="D155" t="s">
        <v>103</v>
      </c>
      <c r="E155" t="s">
        <v>104</v>
      </c>
      <c r="F155" t="s">
        <v>6</v>
      </c>
      <c r="G155" s="107">
        <v>11670</v>
      </c>
      <c r="H155" s="107">
        <v>4.25</v>
      </c>
    </row>
    <row r="156" spans="1:8" x14ac:dyDescent="0.25">
      <c r="A156">
        <v>2973</v>
      </c>
      <c r="B156" t="s">
        <v>114</v>
      </c>
      <c r="C156" t="s">
        <v>100</v>
      </c>
      <c r="D156" t="s">
        <v>105</v>
      </c>
      <c r="E156" t="s">
        <v>104</v>
      </c>
      <c r="F156" t="s">
        <v>6</v>
      </c>
      <c r="G156" s="107">
        <v>833.6</v>
      </c>
      <c r="H156" s="107">
        <v>4.13</v>
      </c>
    </row>
    <row r="157" spans="1:8" x14ac:dyDescent="0.25">
      <c r="A157">
        <v>2976</v>
      </c>
      <c r="B157" t="s">
        <v>114</v>
      </c>
      <c r="C157" t="s">
        <v>100</v>
      </c>
      <c r="D157" t="s">
        <v>106</v>
      </c>
      <c r="E157" t="s">
        <v>104</v>
      </c>
      <c r="F157" t="s">
        <v>6</v>
      </c>
      <c r="G157" s="107">
        <v>1043</v>
      </c>
      <c r="H157" s="107">
        <v>4.28</v>
      </c>
    </row>
    <row r="158" spans="1:8" hidden="1" x14ac:dyDescent="0.25">
      <c r="A158">
        <v>3049</v>
      </c>
      <c r="B158" t="s">
        <v>128</v>
      </c>
      <c r="C158" t="s">
        <v>100</v>
      </c>
      <c r="D158" t="s">
        <v>101</v>
      </c>
      <c r="E158" t="s">
        <v>102</v>
      </c>
      <c r="F158" t="s">
        <v>6</v>
      </c>
      <c r="G158" s="107">
        <v>75560000</v>
      </c>
      <c r="H158" s="107">
        <v>4.1500000000000004</v>
      </c>
    </row>
    <row r="159" spans="1:8" hidden="1" x14ac:dyDescent="0.25">
      <c r="A159">
        <v>3050</v>
      </c>
      <c r="B159" t="s">
        <v>128</v>
      </c>
      <c r="C159" t="s">
        <v>100</v>
      </c>
      <c r="D159" t="s">
        <v>103</v>
      </c>
      <c r="E159" t="s">
        <v>104</v>
      </c>
      <c r="F159" t="s">
        <v>6</v>
      </c>
      <c r="G159" s="107">
        <v>25670000</v>
      </c>
      <c r="H159" s="107">
        <v>4.1500000000000004</v>
      </c>
    </row>
    <row r="160" spans="1:8" x14ac:dyDescent="0.25">
      <c r="A160">
        <v>3051</v>
      </c>
      <c r="B160" t="s">
        <v>128</v>
      </c>
      <c r="C160" t="s">
        <v>100</v>
      </c>
      <c r="D160" t="s">
        <v>105</v>
      </c>
      <c r="E160" t="s">
        <v>104</v>
      </c>
      <c r="F160" t="s">
        <v>6</v>
      </c>
      <c r="G160" s="107">
        <v>34090000</v>
      </c>
      <c r="H160" s="107">
        <v>4.1500000000000004</v>
      </c>
    </row>
    <row r="161" spans="1:8" x14ac:dyDescent="0.25">
      <c r="A161">
        <v>3054</v>
      </c>
      <c r="B161" t="s">
        <v>128</v>
      </c>
      <c r="C161" t="s">
        <v>100</v>
      </c>
      <c r="D161" t="s">
        <v>106</v>
      </c>
      <c r="E161" t="s">
        <v>104</v>
      </c>
      <c r="F161" t="s">
        <v>6</v>
      </c>
      <c r="G161" s="107">
        <v>19980000</v>
      </c>
      <c r="H161" s="107">
        <v>4.1399999999999997</v>
      </c>
    </row>
    <row r="162" spans="1:8" hidden="1" x14ac:dyDescent="0.25">
      <c r="A162">
        <v>3127</v>
      </c>
      <c r="B162" t="s">
        <v>129</v>
      </c>
      <c r="C162" t="s">
        <v>100</v>
      </c>
      <c r="D162" t="s">
        <v>101</v>
      </c>
      <c r="E162" t="s">
        <v>102</v>
      </c>
      <c r="F162" t="s">
        <v>6</v>
      </c>
      <c r="G162" s="107">
        <v>73100000</v>
      </c>
      <c r="H162" s="107">
        <v>4.1399999999999997</v>
      </c>
    </row>
    <row r="163" spans="1:8" hidden="1" x14ac:dyDescent="0.25">
      <c r="A163">
        <v>3128</v>
      </c>
      <c r="B163" t="s">
        <v>129</v>
      </c>
      <c r="C163" t="s">
        <v>100</v>
      </c>
      <c r="D163" t="s">
        <v>103</v>
      </c>
      <c r="E163" t="s">
        <v>104</v>
      </c>
      <c r="F163" t="s">
        <v>6</v>
      </c>
      <c r="G163" s="107">
        <v>25070000</v>
      </c>
      <c r="H163" s="107">
        <v>4.1399999999999997</v>
      </c>
    </row>
    <row r="164" spans="1:8" x14ac:dyDescent="0.25">
      <c r="A164">
        <v>3129</v>
      </c>
      <c r="B164" t="s">
        <v>129</v>
      </c>
      <c r="C164" t="s">
        <v>100</v>
      </c>
      <c r="D164" t="s">
        <v>105</v>
      </c>
      <c r="E164" t="s">
        <v>104</v>
      </c>
      <c r="F164" t="s">
        <v>6</v>
      </c>
      <c r="G164" s="107">
        <v>35550000</v>
      </c>
      <c r="H164" s="107">
        <v>4.1399999999999997</v>
      </c>
    </row>
    <row r="165" spans="1:8" x14ac:dyDescent="0.25">
      <c r="A165">
        <v>3132</v>
      </c>
      <c r="B165" t="s">
        <v>129</v>
      </c>
      <c r="C165" t="s">
        <v>100</v>
      </c>
      <c r="D165" t="s">
        <v>106</v>
      </c>
      <c r="E165" t="s">
        <v>104</v>
      </c>
      <c r="F165" t="s">
        <v>6</v>
      </c>
      <c r="G165" s="107">
        <v>17710000</v>
      </c>
      <c r="H165" s="107">
        <v>4.1399999999999997</v>
      </c>
    </row>
    <row r="166" spans="1:8" hidden="1" x14ac:dyDescent="0.25">
      <c r="A166">
        <v>3205</v>
      </c>
      <c r="B166" t="s">
        <v>130</v>
      </c>
      <c r="C166" t="s">
        <v>100</v>
      </c>
      <c r="D166" t="s">
        <v>101</v>
      </c>
      <c r="E166" t="s">
        <v>102</v>
      </c>
      <c r="F166" t="s">
        <v>6</v>
      </c>
      <c r="G166" s="107">
        <v>112800000</v>
      </c>
      <c r="H166" s="107">
        <v>4.1399999999999997</v>
      </c>
    </row>
    <row r="167" spans="1:8" hidden="1" x14ac:dyDescent="0.25">
      <c r="A167">
        <v>3206</v>
      </c>
      <c r="B167" t="s">
        <v>130</v>
      </c>
      <c r="C167" t="s">
        <v>100</v>
      </c>
      <c r="D167" t="s">
        <v>103</v>
      </c>
      <c r="E167" t="s">
        <v>104</v>
      </c>
      <c r="F167" t="s">
        <v>6</v>
      </c>
      <c r="G167" s="107">
        <v>40880000</v>
      </c>
      <c r="H167" s="107">
        <v>4.1399999999999997</v>
      </c>
    </row>
    <row r="168" spans="1:8" x14ac:dyDescent="0.25">
      <c r="A168">
        <v>3207</v>
      </c>
      <c r="B168" t="s">
        <v>130</v>
      </c>
      <c r="C168" t="s">
        <v>100</v>
      </c>
      <c r="D168" t="s">
        <v>105</v>
      </c>
      <c r="E168" t="s">
        <v>104</v>
      </c>
      <c r="F168" t="s">
        <v>6</v>
      </c>
      <c r="G168" s="107">
        <v>51910000</v>
      </c>
      <c r="H168" s="107">
        <v>4.1399999999999997</v>
      </c>
    </row>
    <row r="169" spans="1:8" x14ac:dyDescent="0.25">
      <c r="A169">
        <v>3210</v>
      </c>
      <c r="B169" t="s">
        <v>130</v>
      </c>
      <c r="C169" t="s">
        <v>100</v>
      </c>
      <c r="D169" t="s">
        <v>106</v>
      </c>
      <c r="E169" t="s">
        <v>104</v>
      </c>
      <c r="F169" t="s">
        <v>6</v>
      </c>
      <c r="G169" s="107">
        <v>18670000</v>
      </c>
      <c r="H169" s="107">
        <v>4.13</v>
      </c>
    </row>
    <row r="170" spans="1:8" hidden="1" x14ac:dyDescent="0.25">
      <c r="A170">
        <v>3283</v>
      </c>
      <c r="B170" t="s">
        <v>131</v>
      </c>
      <c r="C170" t="s">
        <v>100</v>
      </c>
      <c r="D170" t="s">
        <v>101</v>
      </c>
      <c r="E170" t="s">
        <v>102</v>
      </c>
      <c r="F170" t="s">
        <v>6</v>
      </c>
      <c r="G170" s="107">
        <v>147900000</v>
      </c>
      <c r="H170" s="107">
        <v>4.1399999999999997</v>
      </c>
    </row>
    <row r="171" spans="1:8" hidden="1" x14ac:dyDescent="0.25">
      <c r="A171">
        <v>3284</v>
      </c>
      <c r="B171" t="s">
        <v>131</v>
      </c>
      <c r="C171" t="s">
        <v>100</v>
      </c>
      <c r="D171" t="s">
        <v>103</v>
      </c>
      <c r="E171" t="s">
        <v>104</v>
      </c>
      <c r="F171" t="s">
        <v>6</v>
      </c>
      <c r="G171" s="107">
        <v>56220000</v>
      </c>
      <c r="H171" s="107">
        <v>4.1399999999999997</v>
      </c>
    </row>
    <row r="172" spans="1:8" x14ac:dyDescent="0.25">
      <c r="A172">
        <v>3285</v>
      </c>
      <c r="B172" t="s">
        <v>131</v>
      </c>
      <c r="C172" t="s">
        <v>100</v>
      </c>
      <c r="D172" t="s">
        <v>105</v>
      </c>
      <c r="E172" t="s">
        <v>104</v>
      </c>
      <c r="F172" t="s">
        <v>6</v>
      </c>
      <c r="G172" s="107">
        <v>74440000</v>
      </c>
      <c r="H172" s="107">
        <v>4.1399999999999997</v>
      </c>
    </row>
    <row r="173" spans="1:8" x14ac:dyDescent="0.25">
      <c r="A173">
        <v>3288</v>
      </c>
      <c r="B173" t="s">
        <v>131</v>
      </c>
      <c r="C173" t="s">
        <v>100</v>
      </c>
      <c r="D173" t="s">
        <v>106</v>
      </c>
      <c r="E173" t="s">
        <v>104</v>
      </c>
      <c r="F173" t="s">
        <v>6</v>
      </c>
      <c r="G173" s="107">
        <v>17600000</v>
      </c>
      <c r="H173" s="107">
        <v>4.13</v>
      </c>
    </row>
    <row r="174" spans="1:8" hidden="1" x14ac:dyDescent="0.25">
      <c r="A174">
        <v>3361</v>
      </c>
      <c r="B174" t="s">
        <v>132</v>
      </c>
      <c r="C174" t="s">
        <v>100</v>
      </c>
      <c r="D174" t="s">
        <v>101</v>
      </c>
      <c r="E174" t="s">
        <v>102</v>
      </c>
      <c r="F174" t="s">
        <v>6</v>
      </c>
      <c r="G174" s="107">
        <v>209500000</v>
      </c>
      <c r="H174" s="107">
        <v>4.12</v>
      </c>
    </row>
    <row r="175" spans="1:8" hidden="1" x14ac:dyDescent="0.25">
      <c r="A175">
        <v>3362</v>
      </c>
      <c r="B175" t="s">
        <v>132</v>
      </c>
      <c r="C175" t="s">
        <v>100</v>
      </c>
      <c r="D175" t="s">
        <v>103</v>
      </c>
      <c r="E175" t="s">
        <v>104</v>
      </c>
      <c r="F175" t="s">
        <v>6</v>
      </c>
      <c r="G175" s="107">
        <v>81800000</v>
      </c>
      <c r="H175" s="107">
        <v>4.12</v>
      </c>
    </row>
    <row r="176" spans="1:8" x14ac:dyDescent="0.25">
      <c r="A176">
        <v>3363</v>
      </c>
      <c r="B176" t="s">
        <v>132</v>
      </c>
      <c r="C176" t="s">
        <v>100</v>
      </c>
      <c r="D176" t="s">
        <v>105</v>
      </c>
      <c r="E176" t="s">
        <v>104</v>
      </c>
      <c r="F176" t="s">
        <v>6</v>
      </c>
      <c r="G176" s="107">
        <v>107700000</v>
      </c>
      <c r="H176" s="107">
        <v>4.12</v>
      </c>
    </row>
    <row r="177" spans="1:8" x14ac:dyDescent="0.25">
      <c r="A177">
        <v>3366</v>
      </c>
      <c r="B177" t="s">
        <v>132</v>
      </c>
      <c r="C177" t="s">
        <v>100</v>
      </c>
      <c r="D177" t="s">
        <v>106</v>
      </c>
      <c r="E177" t="s">
        <v>104</v>
      </c>
      <c r="F177" t="s">
        <v>6</v>
      </c>
      <c r="G177" s="107">
        <v>16380000</v>
      </c>
      <c r="H177" s="107">
        <v>4.1100000000000003</v>
      </c>
    </row>
    <row r="178" spans="1:8" hidden="1" x14ac:dyDescent="0.25">
      <c r="A178">
        <v>3439</v>
      </c>
      <c r="B178" t="s">
        <v>133</v>
      </c>
      <c r="C178" t="s">
        <v>100</v>
      </c>
      <c r="D178" t="s">
        <v>101</v>
      </c>
      <c r="E178" t="s">
        <v>102</v>
      </c>
      <c r="F178" t="s">
        <v>6</v>
      </c>
      <c r="G178" s="107">
        <v>431700000</v>
      </c>
      <c r="H178" s="107">
        <v>4.1100000000000003</v>
      </c>
    </row>
    <row r="179" spans="1:8" hidden="1" x14ac:dyDescent="0.25">
      <c r="A179">
        <v>3440</v>
      </c>
      <c r="B179" t="s">
        <v>133</v>
      </c>
      <c r="C179" t="s">
        <v>100</v>
      </c>
      <c r="D179" t="s">
        <v>103</v>
      </c>
      <c r="E179" t="s">
        <v>104</v>
      </c>
      <c r="F179" t="s">
        <v>6</v>
      </c>
      <c r="G179" s="107">
        <v>138400000</v>
      </c>
      <c r="H179" s="107">
        <v>4.12</v>
      </c>
    </row>
    <row r="180" spans="1:8" x14ac:dyDescent="0.25">
      <c r="A180">
        <v>3441</v>
      </c>
      <c r="B180" t="s">
        <v>133</v>
      </c>
      <c r="C180" t="s">
        <v>100</v>
      </c>
      <c r="D180" t="s">
        <v>105</v>
      </c>
      <c r="E180" t="s">
        <v>104</v>
      </c>
      <c r="F180" t="s">
        <v>6</v>
      </c>
      <c r="G180" s="107">
        <v>185900000</v>
      </c>
      <c r="H180" s="107">
        <v>4.12</v>
      </c>
    </row>
    <row r="181" spans="1:8" x14ac:dyDescent="0.25">
      <c r="A181">
        <v>3444</v>
      </c>
      <c r="B181" t="s">
        <v>133</v>
      </c>
      <c r="C181" t="s">
        <v>100</v>
      </c>
      <c r="D181" t="s">
        <v>106</v>
      </c>
      <c r="E181" t="s">
        <v>104</v>
      </c>
      <c r="F181" t="s">
        <v>6</v>
      </c>
      <c r="G181" s="107">
        <v>14600000</v>
      </c>
      <c r="H181" s="107">
        <v>4.1100000000000003</v>
      </c>
    </row>
    <row r="182" spans="1:8" hidden="1" x14ac:dyDescent="0.25">
      <c r="A182">
        <v>3517</v>
      </c>
      <c r="B182" t="s">
        <v>134</v>
      </c>
      <c r="C182" t="s">
        <v>100</v>
      </c>
      <c r="D182" t="s">
        <v>101</v>
      </c>
      <c r="E182" t="s">
        <v>102</v>
      </c>
      <c r="F182" t="s">
        <v>6</v>
      </c>
      <c r="G182" s="107">
        <v>747200000</v>
      </c>
      <c r="H182" s="107">
        <v>4.1399999999999997</v>
      </c>
    </row>
    <row r="183" spans="1:8" hidden="1" x14ac:dyDescent="0.25">
      <c r="A183">
        <v>3518</v>
      </c>
      <c r="B183" t="s">
        <v>134</v>
      </c>
      <c r="C183" t="s">
        <v>100</v>
      </c>
      <c r="D183" t="s">
        <v>103</v>
      </c>
      <c r="E183" t="s">
        <v>104</v>
      </c>
      <c r="F183" t="s">
        <v>6</v>
      </c>
      <c r="G183" s="107">
        <v>229600000</v>
      </c>
      <c r="H183" s="107">
        <v>4.1399999999999997</v>
      </c>
    </row>
    <row r="184" spans="1:8" x14ac:dyDescent="0.25">
      <c r="A184">
        <v>3519</v>
      </c>
      <c r="B184" t="s">
        <v>134</v>
      </c>
      <c r="C184" t="s">
        <v>100</v>
      </c>
      <c r="D184" t="s">
        <v>105</v>
      </c>
      <c r="E184" t="s">
        <v>104</v>
      </c>
      <c r="F184" t="s">
        <v>6</v>
      </c>
      <c r="G184" s="107">
        <v>328700000</v>
      </c>
      <c r="H184" s="107">
        <v>4.1399999999999997</v>
      </c>
    </row>
    <row r="185" spans="1:8" x14ac:dyDescent="0.25">
      <c r="A185">
        <v>3522</v>
      </c>
      <c r="B185" t="s">
        <v>134</v>
      </c>
      <c r="C185" t="s">
        <v>100</v>
      </c>
      <c r="D185" t="s">
        <v>106</v>
      </c>
      <c r="E185" t="s">
        <v>104</v>
      </c>
      <c r="F185" t="s">
        <v>6</v>
      </c>
      <c r="G185" s="107">
        <v>11870000</v>
      </c>
      <c r="H185" s="107">
        <v>4.13</v>
      </c>
    </row>
    <row r="186" spans="1:8" hidden="1" x14ac:dyDescent="0.25">
      <c r="A186">
        <v>3595</v>
      </c>
      <c r="B186" t="s">
        <v>114</v>
      </c>
      <c r="C186" t="s">
        <v>100</v>
      </c>
      <c r="D186" t="s">
        <v>101</v>
      </c>
      <c r="E186" t="s">
        <v>102</v>
      </c>
      <c r="F186" t="s">
        <v>6</v>
      </c>
      <c r="G186" s="107">
        <v>450100</v>
      </c>
      <c r="H186" s="107">
        <v>4.2</v>
      </c>
    </row>
    <row r="187" spans="1:8" hidden="1" x14ac:dyDescent="0.25">
      <c r="A187">
        <v>3596</v>
      </c>
      <c r="B187" t="s">
        <v>114</v>
      </c>
      <c r="C187" t="s">
        <v>100</v>
      </c>
      <c r="D187" t="s">
        <v>103</v>
      </c>
      <c r="E187" t="s">
        <v>104</v>
      </c>
      <c r="F187" t="s">
        <v>6</v>
      </c>
      <c r="G187" s="107">
        <v>104000</v>
      </c>
      <c r="H187" s="107">
        <v>4.17</v>
      </c>
    </row>
    <row r="188" spans="1:8" x14ac:dyDescent="0.25">
      <c r="A188">
        <v>3597</v>
      </c>
      <c r="B188" t="s">
        <v>114</v>
      </c>
      <c r="C188" t="s">
        <v>100</v>
      </c>
      <c r="D188" t="s">
        <v>105</v>
      </c>
      <c r="E188" t="s">
        <v>104</v>
      </c>
      <c r="F188" t="s">
        <v>6</v>
      </c>
      <c r="G188" s="107">
        <v>196100</v>
      </c>
      <c r="H188" s="107">
        <v>4.21</v>
      </c>
    </row>
    <row r="189" spans="1:8" x14ac:dyDescent="0.25">
      <c r="A189">
        <v>3600</v>
      </c>
      <c r="B189" t="s">
        <v>114</v>
      </c>
      <c r="C189" t="s">
        <v>100</v>
      </c>
      <c r="D189" t="s">
        <v>106</v>
      </c>
      <c r="E189" t="s">
        <v>104</v>
      </c>
      <c r="F189" t="s">
        <v>6</v>
      </c>
      <c r="G189" s="107">
        <v>834.4</v>
      </c>
      <c r="H189" s="107">
        <v>4.16</v>
      </c>
    </row>
    <row r="190" spans="1:8" hidden="1" x14ac:dyDescent="0.25">
      <c r="A190">
        <v>3673</v>
      </c>
      <c r="B190" t="s">
        <v>114</v>
      </c>
      <c r="C190" t="s">
        <v>100</v>
      </c>
      <c r="D190" t="s">
        <v>101</v>
      </c>
      <c r="E190" t="s">
        <v>102</v>
      </c>
      <c r="F190" t="s">
        <v>6</v>
      </c>
      <c r="G190" s="107">
        <v>106300</v>
      </c>
      <c r="H190" s="107">
        <v>4.26</v>
      </c>
    </row>
    <row r="191" spans="1:8" hidden="1" x14ac:dyDescent="0.25">
      <c r="A191">
        <v>3674</v>
      </c>
      <c r="B191" t="s">
        <v>114</v>
      </c>
      <c r="C191" t="s">
        <v>100</v>
      </c>
      <c r="D191" t="s">
        <v>103</v>
      </c>
      <c r="E191" t="s">
        <v>104</v>
      </c>
      <c r="F191" t="s">
        <v>6</v>
      </c>
      <c r="G191" s="107">
        <v>4066</v>
      </c>
      <c r="H191" s="107">
        <v>4.16</v>
      </c>
    </row>
    <row r="192" spans="1:8" x14ac:dyDescent="0.25">
      <c r="A192">
        <v>3675</v>
      </c>
      <c r="B192" t="s">
        <v>114</v>
      </c>
      <c r="C192" t="s">
        <v>100</v>
      </c>
      <c r="D192" t="s">
        <v>105</v>
      </c>
      <c r="E192" t="s">
        <v>104</v>
      </c>
      <c r="F192" t="s">
        <v>6</v>
      </c>
      <c r="G192" s="107">
        <v>2709</v>
      </c>
      <c r="H192" s="107">
        <v>4.1100000000000003</v>
      </c>
    </row>
    <row r="193" spans="1:8" x14ac:dyDescent="0.25">
      <c r="A193">
        <v>3678</v>
      </c>
      <c r="B193" t="s">
        <v>114</v>
      </c>
      <c r="C193" t="s">
        <v>100</v>
      </c>
      <c r="D193" t="s">
        <v>106</v>
      </c>
      <c r="E193" t="s">
        <v>104</v>
      </c>
      <c r="F193" t="s">
        <v>6</v>
      </c>
      <c r="G193" s="107">
        <v>833.6</v>
      </c>
      <c r="H193" s="107">
        <v>4.16</v>
      </c>
    </row>
    <row r="194" spans="1:8" hidden="1" x14ac:dyDescent="0.25">
      <c r="A194">
        <v>3751</v>
      </c>
      <c r="B194" t="s">
        <v>135</v>
      </c>
      <c r="C194" t="s">
        <v>100</v>
      </c>
      <c r="D194" t="s">
        <v>101</v>
      </c>
      <c r="E194" t="s">
        <v>102</v>
      </c>
      <c r="F194" t="s">
        <v>6</v>
      </c>
      <c r="G194" s="107">
        <v>156800</v>
      </c>
      <c r="H194" s="107">
        <v>4.1500000000000004</v>
      </c>
    </row>
    <row r="195" spans="1:8" hidden="1" x14ac:dyDescent="0.25">
      <c r="A195">
        <v>3752</v>
      </c>
      <c r="B195" t="s">
        <v>135</v>
      </c>
      <c r="C195" t="s">
        <v>100</v>
      </c>
      <c r="D195" t="s">
        <v>103</v>
      </c>
      <c r="E195" t="s">
        <v>104</v>
      </c>
      <c r="F195" t="s">
        <v>6</v>
      </c>
      <c r="G195" s="107">
        <v>113800</v>
      </c>
      <c r="H195" s="107">
        <v>4.1500000000000004</v>
      </c>
    </row>
    <row r="196" spans="1:8" x14ac:dyDescent="0.25">
      <c r="A196">
        <v>3753</v>
      </c>
      <c r="B196" t="s">
        <v>135</v>
      </c>
      <c r="C196" t="s">
        <v>100</v>
      </c>
      <c r="D196" t="s">
        <v>105</v>
      </c>
      <c r="E196" t="s">
        <v>104</v>
      </c>
      <c r="F196" t="s">
        <v>6</v>
      </c>
      <c r="G196" s="107">
        <v>67140</v>
      </c>
      <c r="H196" s="107">
        <v>4.1399999999999997</v>
      </c>
    </row>
    <row r="197" spans="1:8" x14ac:dyDescent="0.25">
      <c r="A197">
        <v>3756</v>
      </c>
      <c r="B197" t="s">
        <v>135</v>
      </c>
      <c r="C197" t="s">
        <v>100</v>
      </c>
      <c r="D197" t="s">
        <v>106</v>
      </c>
      <c r="E197" t="s">
        <v>104</v>
      </c>
      <c r="F197" t="s">
        <v>6</v>
      </c>
      <c r="G197" s="107">
        <v>20430000</v>
      </c>
      <c r="H197" s="107">
        <v>4.1399999999999997</v>
      </c>
    </row>
    <row r="198" spans="1:8" hidden="1" x14ac:dyDescent="0.25">
      <c r="A198">
        <v>3829</v>
      </c>
      <c r="B198" t="s">
        <v>136</v>
      </c>
      <c r="C198" t="s">
        <v>100</v>
      </c>
      <c r="D198" t="s">
        <v>101</v>
      </c>
      <c r="E198" t="s">
        <v>102</v>
      </c>
      <c r="F198" t="s">
        <v>6</v>
      </c>
      <c r="G198" s="107">
        <v>178900000</v>
      </c>
      <c r="H198" s="107">
        <v>4.13</v>
      </c>
    </row>
    <row r="199" spans="1:8" hidden="1" x14ac:dyDescent="0.25">
      <c r="A199">
        <v>3830</v>
      </c>
      <c r="B199" t="s">
        <v>136</v>
      </c>
      <c r="C199" t="s">
        <v>100</v>
      </c>
      <c r="D199" t="s">
        <v>103</v>
      </c>
      <c r="E199" t="s">
        <v>104</v>
      </c>
      <c r="F199" t="s">
        <v>6</v>
      </c>
      <c r="G199" s="107">
        <v>64610000</v>
      </c>
      <c r="H199" s="107">
        <v>4.13</v>
      </c>
    </row>
    <row r="200" spans="1:8" x14ac:dyDescent="0.25">
      <c r="A200">
        <v>3831</v>
      </c>
      <c r="B200" t="s">
        <v>136</v>
      </c>
      <c r="C200" t="s">
        <v>100</v>
      </c>
      <c r="D200" t="s">
        <v>105</v>
      </c>
      <c r="E200" t="s">
        <v>104</v>
      </c>
      <c r="F200" t="s">
        <v>6</v>
      </c>
      <c r="G200" s="107">
        <v>82870000</v>
      </c>
      <c r="H200" s="107">
        <v>4.13</v>
      </c>
    </row>
    <row r="201" spans="1:8" x14ac:dyDescent="0.25">
      <c r="A201">
        <v>3834</v>
      </c>
      <c r="B201" t="s">
        <v>136</v>
      </c>
      <c r="C201" t="s">
        <v>100</v>
      </c>
      <c r="D201" t="s">
        <v>106</v>
      </c>
      <c r="E201" t="s">
        <v>104</v>
      </c>
      <c r="F201" t="s">
        <v>6</v>
      </c>
      <c r="G201" s="107">
        <v>16320000</v>
      </c>
      <c r="H201" s="107">
        <v>4.12</v>
      </c>
    </row>
    <row r="202" spans="1:8" hidden="1" x14ac:dyDescent="0.25">
      <c r="A202">
        <v>3907</v>
      </c>
      <c r="B202" t="s">
        <v>114</v>
      </c>
      <c r="C202" t="s">
        <v>100</v>
      </c>
      <c r="D202" t="s">
        <v>101</v>
      </c>
      <c r="E202" t="s">
        <v>102</v>
      </c>
      <c r="F202" t="s">
        <v>6</v>
      </c>
      <c r="G202" s="107">
        <v>77140</v>
      </c>
      <c r="H202" s="107">
        <v>4.21</v>
      </c>
    </row>
    <row r="203" spans="1:8" hidden="1" x14ac:dyDescent="0.25">
      <c r="A203">
        <v>3908</v>
      </c>
      <c r="B203" t="s">
        <v>114</v>
      </c>
      <c r="C203" t="s">
        <v>100</v>
      </c>
      <c r="D203" t="s">
        <v>103</v>
      </c>
      <c r="E203" t="s">
        <v>104</v>
      </c>
      <c r="F203" t="s">
        <v>6</v>
      </c>
      <c r="G203" s="107">
        <v>26370</v>
      </c>
      <c r="H203" s="107">
        <v>4.21</v>
      </c>
    </row>
    <row r="204" spans="1:8" x14ac:dyDescent="0.25">
      <c r="A204">
        <v>3909</v>
      </c>
      <c r="B204" t="s">
        <v>114</v>
      </c>
      <c r="C204" t="s">
        <v>100</v>
      </c>
      <c r="D204" t="s">
        <v>105</v>
      </c>
      <c r="E204" t="s">
        <v>104</v>
      </c>
      <c r="F204" t="s">
        <v>6</v>
      </c>
      <c r="G204" s="107">
        <v>52010</v>
      </c>
      <c r="H204" s="107">
        <v>4.2</v>
      </c>
    </row>
    <row r="205" spans="1:8" x14ac:dyDescent="0.25">
      <c r="A205">
        <v>3912</v>
      </c>
      <c r="B205" t="s">
        <v>114</v>
      </c>
      <c r="C205" t="s">
        <v>100</v>
      </c>
      <c r="D205" t="s">
        <v>106</v>
      </c>
      <c r="E205" t="s">
        <v>104</v>
      </c>
      <c r="F205" t="s">
        <v>6</v>
      </c>
      <c r="G205" s="107">
        <v>5418</v>
      </c>
      <c r="H205" s="107">
        <v>4.17</v>
      </c>
    </row>
    <row r="206" spans="1:8" hidden="1" x14ac:dyDescent="0.25">
      <c r="A206">
        <v>3985</v>
      </c>
      <c r="B206" t="s">
        <v>137</v>
      </c>
      <c r="C206" t="s">
        <v>100</v>
      </c>
      <c r="D206" t="s">
        <v>101</v>
      </c>
      <c r="E206" t="s">
        <v>102</v>
      </c>
      <c r="F206" t="s">
        <v>6</v>
      </c>
      <c r="G206" s="107">
        <v>52040000</v>
      </c>
      <c r="H206" s="107">
        <v>4.1500000000000004</v>
      </c>
    </row>
    <row r="207" spans="1:8" hidden="1" x14ac:dyDescent="0.25">
      <c r="A207">
        <v>3986</v>
      </c>
      <c r="B207" t="s">
        <v>137</v>
      </c>
      <c r="C207" t="s">
        <v>100</v>
      </c>
      <c r="D207" t="s">
        <v>103</v>
      </c>
      <c r="E207" t="s">
        <v>104</v>
      </c>
      <c r="F207" t="s">
        <v>6</v>
      </c>
      <c r="G207" s="107">
        <v>17050000</v>
      </c>
      <c r="H207" s="107">
        <v>4.1500000000000004</v>
      </c>
    </row>
    <row r="208" spans="1:8" x14ac:dyDescent="0.25">
      <c r="A208">
        <v>3987</v>
      </c>
      <c r="B208" t="s">
        <v>137</v>
      </c>
      <c r="C208" t="s">
        <v>100</v>
      </c>
      <c r="D208" t="s">
        <v>105</v>
      </c>
      <c r="E208" t="s">
        <v>104</v>
      </c>
      <c r="F208" t="s">
        <v>6</v>
      </c>
      <c r="G208" s="107">
        <v>25450000</v>
      </c>
      <c r="H208" s="107">
        <v>4.1500000000000004</v>
      </c>
    </row>
    <row r="209" spans="1:8" x14ac:dyDescent="0.25">
      <c r="A209">
        <v>3990</v>
      </c>
      <c r="B209" t="s">
        <v>137</v>
      </c>
      <c r="C209" t="s">
        <v>100</v>
      </c>
      <c r="D209" t="s">
        <v>106</v>
      </c>
      <c r="E209" t="s">
        <v>104</v>
      </c>
      <c r="F209" t="s">
        <v>6</v>
      </c>
      <c r="G209" s="107">
        <v>3374000</v>
      </c>
      <c r="H209" s="107">
        <v>4.1500000000000004</v>
      </c>
    </row>
    <row r="210" spans="1:8" hidden="1" x14ac:dyDescent="0.25">
      <c r="A210">
        <v>4063</v>
      </c>
      <c r="B210" t="s">
        <v>138</v>
      </c>
      <c r="C210" t="s">
        <v>100</v>
      </c>
      <c r="D210" t="s">
        <v>101</v>
      </c>
      <c r="E210" t="s">
        <v>102</v>
      </c>
      <c r="F210" t="s">
        <v>6</v>
      </c>
      <c r="G210" s="107">
        <v>49470000</v>
      </c>
      <c r="H210" s="107">
        <v>4.13</v>
      </c>
    </row>
    <row r="211" spans="1:8" hidden="1" x14ac:dyDescent="0.25">
      <c r="A211">
        <v>4064</v>
      </c>
      <c r="B211" t="s">
        <v>138</v>
      </c>
      <c r="C211" t="s">
        <v>100</v>
      </c>
      <c r="D211" t="s">
        <v>103</v>
      </c>
      <c r="E211" t="s">
        <v>104</v>
      </c>
      <c r="F211" t="s">
        <v>6</v>
      </c>
      <c r="G211" s="107">
        <v>16410000</v>
      </c>
      <c r="H211" s="107">
        <v>4.13</v>
      </c>
    </row>
    <row r="212" spans="1:8" x14ac:dyDescent="0.25">
      <c r="A212">
        <v>4065</v>
      </c>
      <c r="B212" t="s">
        <v>138</v>
      </c>
      <c r="C212" t="s">
        <v>100</v>
      </c>
      <c r="D212" t="s">
        <v>105</v>
      </c>
      <c r="E212" t="s">
        <v>104</v>
      </c>
      <c r="F212" t="s">
        <v>6</v>
      </c>
      <c r="G212" s="107">
        <v>22530000</v>
      </c>
      <c r="H212" s="107">
        <v>4.13</v>
      </c>
    </row>
    <row r="213" spans="1:8" x14ac:dyDescent="0.25">
      <c r="A213">
        <v>4068</v>
      </c>
      <c r="B213" t="s">
        <v>138</v>
      </c>
      <c r="C213" t="s">
        <v>100</v>
      </c>
      <c r="D213" t="s">
        <v>106</v>
      </c>
      <c r="E213" t="s">
        <v>104</v>
      </c>
      <c r="F213" t="s">
        <v>6</v>
      </c>
      <c r="G213" s="107">
        <v>3385000</v>
      </c>
      <c r="H213" s="107">
        <v>4.12</v>
      </c>
    </row>
    <row r="214" spans="1:8" hidden="1" x14ac:dyDescent="0.25">
      <c r="A214">
        <v>4141</v>
      </c>
      <c r="B214" t="s">
        <v>139</v>
      </c>
      <c r="C214" t="s">
        <v>100</v>
      </c>
      <c r="D214" t="s">
        <v>101</v>
      </c>
      <c r="E214" t="s">
        <v>102</v>
      </c>
      <c r="F214" t="s">
        <v>6</v>
      </c>
      <c r="G214" s="107">
        <v>58970000</v>
      </c>
      <c r="H214" s="107">
        <v>4.13</v>
      </c>
    </row>
    <row r="215" spans="1:8" hidden="1" x14ac:dyDescent="0.25">
      <c r="A215">
        <v>4142</v>
      </c>
      <c r="B215" t="s">
        <v>139</v>
      </c>
      <c r="C215" t="s">
        <v>100</v>
      </c>
      <c r="D215" t="s">
        <v>103</v>
      </c>
      <c r="E215" t="s">
        <v>104</v>
      </c>
      <c r="F215" t="s">
        <v>6</v>
      </c>
      <c r="G215" s="107">
        <v>20140000</v>
      </c>
      <c r="H215" s="107">
        <v>4.13</v>
      </c>
    </row>
    <row r="216" spans="1:8" x14ac:dyDescent="0.25">
      <c r="A216">
        <v>4143</v>
      </c>
      <c r="B216" t="s">
        <v>139</v>
      </c>
      <c r="C216" t="s">
        <v>100</v>
      </c>
      <c r="D216" t="s">
        <v>105</v>
      </c>
      <c r="E216" t="s">
        <v>104</v>
      </c>
      <c r="F216" t="s">
        <v>6</v>
      </c>
      <c r="G216" s="107">
        <v>26530000</v>
      </c>
      <c r="H216" s="107">
        <v>4.13</v>
      </c>
    </row>
    <row r="217" spans="1:8" x14ac:dyDescent="0.25">
      <c r="A217">
        <v>4146</v>
      </c>
      <c r="B217" t="s">
        <v>139</v>
      </c>
      <c r="C217" t="s">
        <v>100</v>
      </c>
      <c r="D217" t="s">
        <v>106</v>
      </c>
      <c r="E217" t="s">
        <v>104</v>
      </c>
      <c r="F217" t="s">
        <v>6</v>
      </c>
      <c r="G217" s="107">
        <v>3161000</v>
      </c>
      <c r="H217" s="107">
        <v>4.12</v>
      </c>
    </row>
    <row r="218" spans="1:8" hidden="1" x14ac:dyDescent="0.25">
      <c r="A218">
        <v>4219</v>
      </c>
      <c r="B218" t="s">
        <v>140</v>
      </c>
      <c r="C218" t="s">
        <v>100</v>
      </c>
      <c r="D218" t="s">
        <v>101</v>
      </c>
      <c r="E218" t="s">
        <v>102</v>
      </c>
      <c r="F218" t="s">
        <v>6</v>
      </c>
      <c r="G218" s="107">
        <v>64680000</v>
      </c>
      <c r="H218" s="107">
        <v>4.1399999999999997</v>
      </c>
    </row>
    <row r="219" spans="1:8" hidden="1" x14ac:dyDescent="0.25">
      <c r="A219">
        <v>4220</v>
      </c>
      <c r="B219" t="s">
        <v>140</v>
      </c>
      <c r="C219" t="s">
        <v>100</v>
      </c>
      <c r="D219" t="s">
        <v>103</v>
      </c>
      <c r="E219" t="s">
        <v>104</v>
      </c>
      <c r="F219" t="s">
        <v>6</v>
      </c>
      <c r="G219" s="107">
        <v>22750000</v>
      </c>
      <c r="H219" s="107">
        <v>4.1399999999999997</v>
      </c>
    </row>
    <row r="220" spans="1:8" x14ac:dyDescent="0.25">
      <c r="A220">
        <v>4221</v>
      </c>
      <c r="B220" t="s">
        <v>140</v>
      </c>
      <c r="C220" t="s">
        <v>100</v>
      </c>
      <c r="D220" t="s">
        <v>105</v>
      </c>
      <c r="E220" t="s">
        <v>104</v>
      </c>
      <c r="F220" t="s">
        <v>6</v>
      </c>
      <c r="G220" s="107">
        <v>30320000</v>
      </c>
      <c r="H220" s="107">
        <v>4.1399999999999997</v>
      </c>
    </row>
    <row r="221" spans="1:8" x14ac:dyDescent="0.25">
      <c r="A221">
        <v>4224</v>
      </c>
      <c r="B221" t="s">
        <v>140</v>
      </c>
      <c r="C221" t="s">
        <v>100</v>
      </c>
      <c r="D221" t="s">
        <v>106</v>
      </c>
      <c r="E221" t="s">
        <v>104</v>
      </c>
      <c r="F221" t="s">
        <v>6</v>
      </c>
      <c r="G221" s="107">
        <v>2892000</v>
      </c>
      <c r="H221" s="107">
        <v>4.1399999999999997</v>
      </c>
    </row>
    <row r="222" spans="1:8" hidden="1" x14ac:dyDescent="0.25">
      <c r="A222">
        <v>4297</v>
      </c>
      <c r="B222" t="s">
        <v>141</v>
      </c>
      <c r="C222" t="s">
        <v>100</v>
      </c>
      <c r="D222" t="s">
        <v>101</v>
      </c>
      <c r="E222" t="s">
        <v>102</v>
      </c>
      <c r="F222" t="s">
        <v>6</v>
      </c>
      <c r="G222" s="107">
        <v>76110000</v>
      </c>
      <c r="H222" s="107">
        <v>4.13</v>
      </c>
    </row>
    <row r="223" spans="1:8" hidden="1" x14ac:dyDescent="0.25">
      <c r="A223">
        <v>4298</v>
      </c>
      <c r="B223" t="s">
        <v>141</v>
      </c>
      <c r="C223" t="s">
        <v>100</v>
      </c>
      <c r="D223" t="s">
        <v>103</v>
      </c>
      <c r="E223" t="s">
        <v>104</v>
      </c>
      <c r="F223" t="s">
        <v>6</v>
      </c>
      <c r="G223" s="107">
        <v>27090000</v>
      </c>
      <c r="H223" s="107">
        <v>4.13</v>
      </c>
    </row>
    <row r="224" spans="1:8" x14ac:dyDescent="0.25">
      <c r="A224">
        <v>4299</v>
      </c>
      <c r="B224" t="s">
        <v>141</v>
      </c>
      <c r="C224" t="s">
        <v>100</v>
      </c>
      <c r="D224" t="s">
        <v>105</v>
      </c>
      <c r="E224" t="s">
        <v>104</v>
      </c>
      <c r="F224" t="s">
        <v>6</v>
      </c>
      <c r="G224" s="107">
        <v>35660000</v>
      </c>
      <c r="H224" s="107">
        <v>4.13</v>
      </c>
    </row>
    <row r="225" spans="1:8" x14ac:dyDescent="0.25">
      <c r="A225">
        <v>4302</v>
      </c>
      <c r="B225" t="s">
        <v>141</v>
      </c>
      <c r="C225" t="s">
        <v>100</v>
      </c>
      <c r="D225" t="s">
        <v>106</v>
      </c>
      <c r="E225" t="s">
        <v>104</v>
      </c>
      <c r="F225" t="s">
        <v>6</v>
      </c>
      <c r="G225" s="107">
        <v>3311000</v>
      </c>
      <c r="H225" s="107">
        <v>4.12</v>
      </c>
    </row>
    <row r="226" spans="1:8" hidden="1" x14ac:dyDescent="0.25">
      <c r="A226">
        <v>4375</v>
      </c>
      <c r="B226" t="s">
        <v>142</v>
      </c>
      <c r="C226" t="s">
        <v>100</v>
      </c>
      <c r="D226" t="s">
        <v>101</v>
      </c>
      <c r="E226" t="s">
        <v>102</v>
      </c>
      <c r="F226" t="s">
        <v>6</v>
      </c>
      <c r="G226" s="107">
        <v>105600000</v>
      </c>
      <c r="H226" s="107">
        <v>4.13</v>
      </c>
    </row>
    <row r="227" spans="1:8" hidden="1" x14ac:dyDescent="0.25">
      <c r="A227">
        <v>4376</v>
      </c>
      <c r="B227" t="s">
        <v>142</v>
      </c>
      <c r="C227" t="s">
        <v>100</v>
      </c>
      <c r="D227" t="s">
        <v>103</v>
      </c>
      <c r="E227" t="s">
        <v>104</v>
      </c>
      <c r="F227" t="s">
        <v>6</v>
      </c>
      <c r="G227" s="107">
        <v>35600000</v>
      </c>
      <c r="H227" s="107">
        <v>4.13</v>
      </c>
    </row>
    <row r="228" spans="1:8" x14ac:dyDescent="0.25">
      <c r="A228">
        <v>4377</v>
      </c>
      <c r="B228" t="s">
        <v>142</v>
      </c>
      <c r="C228" t="s">
        <v>100</v>
      </c>
      <c r="D228" t="s">
        <v>105</v>
      </c>
      <c r="E228" t="s">
        <v>104</v>
      </c>
      <c r="F228" t="s">
        <v>6</v>
      </c>
      <c r="G228" s="107">
        <v>48690000</v>
      </c>
      <c r="H228" s="107">
        <v>4.13</v>
      </c>
    </row>
    <row r="229" spans="1:8" x14ac:dyDescent="0.25">
      <c r="A229">
        <v>4380</v>
      </c>
      <c r="B229" t="s">
        <v>142</v>
      </c>
      <c r="C229" t="s">
        <v>100</v>
      </c>
      <c r="D229" t="s">
        <v>106</v>
      </c>
      <c r="E229" t="s">
        <v>104</v>
      </c>
      <c r="F229" t="s">
        <v>6</v>
      </c>
      <c r="G229" s="107">
        <v>2905000</v>
      </c>
      <c r="H229" s="107">
        <v>4.12</v>
      </c>
    </row>
    <row r="230" spans="1:8" hidden="1" x14ac:dyDescent="0.25">
      <c r="A230">
        <v>4453</v>
      </c>
      <c r="B230" t="s">
        <v>143</v>
      </c>
      <c r="C230" t="s">
        <v>100</v>
      </c>
      <c r="D230" t="s">
        <v>101</v>
      </c>
      <c r="E230" t="s">
        <v>102</v>
      </c>
      <c r="F230" t="s">
        <v>6</v>
      </c>
      <c r="G230" s="107">
        <v>169500000</v>
      </c>
      <c r="H230" s="107">
        <v>4.12</v>
      </c>
    </row>
    <row r="231" spans="1:8" hidden="1" x14ac:dyDescent="0.25">
      <c r="A231">
        <v>4454</v>
      </c>
      <c r="B231" t="s">
        <v>143</v>
      </c>
      <c r="C231" t="s">
        <v>100</v>
      </c>
      <c r="D231" t="s">
        <v>103</v>
      </c>
      <c r="E231" t="s">
        <v>104</v>
      </c>
      <c r="F231" t="s">
        <v>6</v>
      </c>
      <c r="G231" s="107">
        <v>63280000</v>
      </c>
      <c r="H231" s="107">
        <v>4.12</v>
      </c>
    </row>
    <row r="232" spans="1:8" x14ac:dyDescent="0.25">
      <c r="A232">
        <v>4455</v>
      </c>
      <c r="B232" t="s">
        <v>143</v>
      </c>
      <c r="C232" t="s">
        <v>100</v>
      </c>
      <c r="D232" t="s">
        <v>105</v>
      </c>
      <c r="E232" t="s">
        <v>104</v>
      </c>
      <c r="F232" t="s">
        <v>6</v>
      </c>
      <c r="G232" s="107">
        <v>83210000</v>
      </c>
      <c r="H232" s="107">
        <v>4.12</v>
      </c>
    </row>
    <row r="233" spans="1:8" x14ac:dyDescent="0.25">
      <c r="A233">
        <v>4458</v>
      </c>
      <c r="B233" t="s">
        <v>143</v>
      </c>
      <c r="C233" t="s">
        <v>100</v>
      </c>
      <c r="D233" t="s">
        <v>106</v>
      </c>
      <c r="E233" t="s">
        <v>104</v>
      </c>
      <c r="F233" t="s">
        <v>6</v>
      </c>
      <c r="G233" s="107">
        <v>2660000</v>
      </c>
      <c r="H233" s="107">
        <v>4.12</v>
      </c>
    </row>
    <row r="234" spans="1:8" hidden="1" x14ac:dyDescent="0.25">
      <c r="A234">
        <v>4531</v>
      </c>
      <c r="B234" t="s">
        <v>144</v>
      </c>
      <c r="C234" t="s">
        <v>100</v>
      </c>
      <c r="D234" t="s">
        <v>101</v>
      </c>
      <c r="E234" t="s">
        <v>102</v>
      </c>
      <c r="F234" t="s">
        <v>6</v>
      </c>
      <c r="G234" s="107">
        <v>258900000</v>
      </c>
      <c r="H234" s="107">
        <v>4.12</v>
      </c>
    </row>
    <row r="235" spans="1:8" hidden="1" x14ac:dyDescent="0.25">
      <c r="A235">
        <v>4532</v>
      </c>
      <c r="B235" t="s">
        <v>144</v>
      </c>
      <c r="C235" t="s">
        <v>100</v>
      </c>
      <c r="D235" t="s">
        <v>103</v>
      </c>
      <c r="E235" t="s">
        <v>104</v>
      </c>
      <c r="F235" t="s">
        <v>6</v>
      </c>
      <c r="G235" s="107">
        <v>93340000</v>
      </c>
      <c r="H235" s="107">
        <v>4.12</v>
      </c>
    </row>
    <row r="236" spans="1:8" x14ac:dyDescent="0.25">
      <c r="A236">
        <v>4533</v>
      </c>
      <c r="B236" t="s">
        <v>144</v>
      </c>
      <c r="C236" t="s">
        <v>100</v>
      </c>
      <c r="D236" t="s">
        <v>105</v>
      </c>
      <c r="E236" t="s">
        <v>104</v>
      </c>
      <c r="F236" t="s">
        <v>6</v>
      </c>
      <c r="G236" s="107">
        <v>122700000</v>
      </c>
      <c r="H236" s="107">
        <v>4.12</v>
      </c>
    </row>
    <row r="237" spans="1:8" x14ac:dyDescent="0.25">
      <c r="A237">
        <v>4536</v>
      </c>
      <c r="B237" t="s">
        <v>144</v>
      </c>
      <c r="C237" t="s">
        <v>100</v>
      </c>
      <c r="D237" t="s">
        <v>106</v>
      </c>
      <c r="E237" t="s">
        <v>104</v>
      </c>
      <c r="F237" t="s">
        <v>6</v>
      </c>
      <c r="G237" s="107">
        <v>2297000</v>
      </c>
      <c r="H237" s="107">
        <v>4.1100000000000003</v>
      </c>
    </row>
    <row r="238" spans="1:8" hidden="1" x14ac:dyDescent="0.25">
      <c r="A238">
        <v>4609</v>
      </c>
      <c r="B238" t="s">
        <v>114</v>
      </c>
      <c r="C238" t="s">
        <v>100</v>
      </c>
      <c r="D238" t="s">
        <v>101</v>
      </c>
      <c r="E238" t="s">
        <v>102</v>
      </c>
      <c r="F238" t="s">
        <v>6</v>
      </c>
      <c r="G238" s="107">
        <v>31690</v>
      </c>
      <c r="H238" s="107">
        <v>4.2</v>
      </c>
    </row>
    <row r="239" spans="1:8" hidden="1" x14ac:dyDescent="0.25">
      <c r="A239">
        <v>4610</v>
      </c>
      <c r="B239" t="s">
        <v>114</v>
      </c>
      <c r="C239" t="s">
        <v>100</v>
      </c>
      <c r="D239" t="s">
        <v>103</v>
      </c>
      <c r="E239" t="s">
        <v>104</v>
      </c>
      <c r="F239" t="s">
        <v>6</v>
      </c>
      <c r="G239" s="107">
        <v>41480</v>
      </c>
      <c r="H239" s="107">
        <v>4.21</v>
      </c>
    </row>
    <row r="240" spans="1:8" x14ac:dyDescent="0.25">
      <c r="A240">
        <v>4611</v>
      </c>
      <c r="B240" t="s">
        <v>114</v>
      </c>
      <c r="C240" t="s">
        <v>100</v>
      </c>
      <c r="D240" t="s">
        <v>105</v>
      </c>
      <c r="E240" t="s">
        <v>104</v>
      </c>
      <c r="F240" t="s">
        <v>6</v>
      </c>
      <c r="G240" s="107">
        <v>34080</v>
      </c>
      <c r="H240" s="107">
        <v>4.2300000000000004</v>
      </c>
    </row>
    <row r="241" spans="1:8" x14ac:dyDescent="0.25">
      <c r="A241">
        <v>4614</v>
      </c>
      <c r="B241" t="s">
        <v>114</v>
      </c>
      <c r="C241" t="s">
        <v>100</v>
      </c>
      <c r="D241" t="s">
        <v>106</v>
      </c>
      <c r="E241" t="s">
        <v>104</v>
      </c>
      <c r="F241" t="s">
        <v>6</v>
      </c>
      <c r="G241" s="107">
        <v>625.20000000000005</v>
      </c>
      <c r="H241" s="107">
        <v>4.18</v>
      </c>
    </row>
    <row r="242" spans="1:8" hidden="1" x14ac:dyDescent="0.25">
      <c r="A242">
        <v>4687</v>
      </c>
      <c r="B242" t="s">
        <v>114</v>
      </c>
      <c r="C242" t="s">
        <v>100</v>
      </c>
      <c r="D242" t="s">
        <v>101</v>
      </c>
      <c r="E242" t="s">
        <v>102</v>
      </c>
      <c r="F242" t="s">
        <v>6</v>
      </c>
      <c r="G242" s="107">
        <v>1875</v>
      </c>
      <c r="H242" s="107">
        <v>4.09</v>
      </c>
    </row>
    <row r="243" spans="1:8" hidden="1" x14ac:dyDescent="0.25">
      <c r="A243">
        <v>4688</v>
      </c>
      <c r="B243" t="s">
        <v>114</v>
      </c>
      <c r="C243" t="s">
        <v>100</v>
      </c>
      <c r="D243" t="s">
        <v>103</v>
      </c>
      <c r="E243" t="s">
        <v>104</v>
      </c>
      <c r="F243" t="s">
        <v>6</v>
      </c>
      <c r="G243" s="107">
        <v>1875</v>
      </c>
      <c r="H243" s="107">
        <v>4.18</v>
      </c>
    </row>
    <row r="244" spans="1:8" x14ac:dyDescent="0.25">
      <c r="A244">
        <v>4689</v>
      </c>
      <c r="B244" t="s">
        <v>114</v>
      </c>
      <c r="C244" t="s">
        <v>100</v>
      </c>
      <c r="D244" t="s">
        <v>105</v>
      </c>
      <c r="E244" t="s">
        <v>104</v>
      </c>
      <c r="F244" t="s">
        <v>6</v>
      </c>
      <c r="G244" s="107">
        <v>6671</v>
      </c>
      <c r="H244" s="107">
        <v>4.2</v>
      </c>
    </row>
    <row r="245" spans="1:8" x14ac:dyDescent="0.25">
      <c r="A245">
        <v>4692</v>
      </c>
      <c r="B245" t="s">
        <v>114</v>
      </c>
      <c r="C245" t="s">
        <v>100</v>
      </c>
      <c r="D245" t="s">
        <v>106</v>
      </c>
      <c r="E245" t="s">
        <v>104</v>
      </c>
      <c r="F245" t="s">
        <v>6</v>
      </c>
      <c r="G245" s="107">
        <v>625.29999999999995</v>
      </c>
      <c r="H245" s="107">
        <v>4.3899999999999997</v>
      </c>
    </row>
    <row r="246" spans="1:8" hidden="1" x14ac:dyDescent="0.25">
      <c r="A246">
        <v>4765</v>
      </c>
      <c r="B246" t="s">
        <v>145</v>
      </c>
      <c r="C246" t="s">
        <v>100</v>
      </c>
      <c r="D246" t="s">
        <v>101</v>
      </c>
      <c r="E246" t="s">
        <v>102</v>
      </c>
      <c r="F246" t="s">
        <v>6</v>
      </c>
      <c r="G246" s="107">
        <v>86910000</v>
      </c>
      <c r="H246" s="107">
        <v>4.13</v>
      </c>
    </row>
    <row r="247" spans="1:8" hidden="1" x14ac:dyDescent="0.25">
      <c r="A247">
        <v>4766</v>
      </c>
      <c r="B247" t="s">
        <v>145</v>
      </c>
      <c r="C247" t="s">
        <v>100</v>
      </c>
      <c r="D247" t="s">
        <v>103</v>
      </c>
      <c r="E247" t="s">
        <v>104</v>
      </c>
      <c r="F247" t="s">
        <v>6</v>
      </c>
      <c r="G247" s="107">
        <v>30350000</v>
      </c>
      <c r="H247" s="107">
        <v>4.13</v>
      </c>
    </row>
    <row r="248" spans="1:8" x14ac:dyDescent="0.25">
      <c r="A248">
        <v>4767</v>
      </c>
      <c r="B248" t="s">
        <v>145</v>
      </c>
      <c r="C248" t="s">
        <v>100</v>
      </c>
      <c r="D248" t="s">
        <v>105</v>
      </c>
      <c r="E248" t="s">
        <v>104</v>
      </c>
      <c r="F248" t="s">
        <v>6</v>
      </c>
      <c r="G248" s="107">
        <v>40150000</v>
      </c>
      <c r="H248" s="107">
        <v>4.13</v>
      </c>
    </row>
    <row r="249" spans="1:8" x14ac:dyDescent="0.25">
      <c r="A249">
        <v>4770</v>
      </c>
      <c r="B249" t="s">
        <v>145</v>
      </c>
      <c r="C249" t="s">
        <v>100</v>
      </c>
      <c r="D249" t="s">
        <v>106</v>
      </c>
      <c r="E249" t="s">
        <v>104</v>
      </c>
      <c r="F249" t="s">
        <v>6</v>
      </c>
      <c r="G249" s="107">
        <v>16460000</v>
      </c>
      <c r="H249" s="107">
        <v>4.12</v>
      </c>
    </row>
    <row r="250" spans="1:8" hidden="1" x14ac:dyDescent="0.25">
      <c r="A250">
        <v>4843</v>
      </c>
      <c r="B250" t="s">
        <v>146</v>
      </c>
      <c r="C250" t="s">
        <v>100</v>
      </c>
      <c r="D250" t="s">
        <v>101</v>
      </c>
      <c r="E250" t="s">
        <v>102</v>
      </c>
      <c r="F250" t="s">
        <v>6</v>
      </c>
      <c r="G250" s="107">
        <v>84590000</v>
      </c>
      <c r="H250" s="107">
        <v>4.13</v>
      </c>
    </row>
    <row r="251" spans="1:8" hidden="1" x14ac:dyDescent="0.25">
      <c r="A251">
        <v>4844</v>
      </c>
      <c r="B251" t="s">
        <v>146</v>
      </c>
      <c r="C251" t="s">
        <v>100</v>
      </c>
      <c r="D251" t="s">
        <v>103</v>
      </c>
      <c r="E251" t="s">
        <v>104</v>
      </c>
      <c r="F251" t="s">
        <v>6</v>
      </c>
      <c r="G251" s="107">
        <v>31110000</v>
      </c>
      <c r="H251" s="107">
        <v>4.13</v>
      </c>
    </row>
    <row r="252" spans="1:8" x14ac:dyDescent="0.25">
      <c r="A252">
        <v>4845</v>
      </c>
      <c r="B252" t="s">
        <v>146</v>
      </c>
      <c r="C252" t="s">
        <v>100</v>
      </c>
      <c r="D252" t="s">
        <v>105</v>
      </c>
      <c r="E252" t="s">
        <v>104</v>
      </c>
      <c r="F252" t="s">
        <v>6</v>
      </c>
      <c r="G252" s="107">
        <v>39160000</v>
      </c>
      <c r="H252" s="107">
        <v>4.13</v>
      </c>
    </row>
    <row r="253" spans="1:8" x14ac:dyDescent="0.25">
      <c r="A253">
        <v>4848</v>
      </c>
      <c r="B253" t="s">
        <v>146</v>
      </c>
      <c r="C253" t="s">
        <v>100</v>
      </c>
      <c r="D253" t="s">
        <v>106</v>
      </c>
      <c r="E253" t="s">
        <v>104</v>
      </c>
      <c r="F253" t="s">
        <v>6</v>
      </c>
      <c r="G253" s="107">
        <v>16070000</v>
      </c>
      <c r="H253" s="107">
        <v>4.13</v>
      </c>
    </row>
    <row r="254" spans="1:8" hidden="1" x14ac:dyDescent="0.25">
      <c r="A254">
        <v>4921</v>
      </c>
      <c r="B254" t="s">
        <v>147</v>
      </c>
      <c r="C254" t="s">
        <v>100</v>
      </c>
      <c r="D254" t="s">
        <v>101</v>
      </c>
      <c r="E254" t="s">
        <v>102</v>
      </c>
      <c r="F254" t="s">
        <v>6</v>
      </c>
      <c r="G254" s="107">
        <v>118100000</v>
      </c>
      <c r="H254" s="107">
        <v>4.13</v>
      </c>
    </row>
    <row r="255" spans="1:8" hidden="1" x14ac:dyDescent="0.25">
      <c r="A255">
        <v>4922</v>
      </c>
      <c r="B255" t="s">
        <v>147</v>
      </c>
      <c r="C255" t="s">
        <v>100</v>
      </c>
      <c r="D255" t="s">
        <v>103</v>
      </c>
      <c r="E255" t="s">
        <v>104</v>
      </c>
      <c r="F255" t="s">
        <v>6</v>
      </c>
      <c r="G255" s="107">
        <v>45730000</v>
      </c>
      <c r="H255" s="107">
        <v>4.13</v>
      </c>
    </row>
    <row r="256" spans="1:8" x14ac:dyDescent="0.25">
      <c r="A256">
        <v>4923</v>
      </c>
      <c r="B256" t="s">
        <v>147</v>
      </c>
      <c r="C256" t="s">
        <v>100</v>
      </c>
      <c r="D256" t="s">
        <v>105</v>
      </c>
      <c r="E256" t="s">
        <v>104</v>
      </c>
      <c r="F256" t="s">
        <v>6</v>
      </c>
      <c r="G256" s="107">
        <v>55310000</v>
      </c>
      <c r="H256" s="107">
        <v>4.13</v>
      </c>
    </row>
    <row r="257" spans="1:8" x14ac:dyDescent="0.25">
      <c r="A257">
        <v>4926</v>
      </c>
      <c r="B257" t="s">
        <v>147</v>
      </c>
      <c r="C257" t="s">
        <v>100</v>
      </c>
      <c r="D257" t="s">
        <v>106</v>
      </c>
      <c r="E257" t="s">
        <v>104</v>
      </c>
      <c r="F257" t="s">
        <v>6</v>
      </c>
      <c r="G257" s="107">
        <v>15740000</v>
      </c>
      <c r="H257" s="107">
        <v>4.12</v>
      </c>
    </row>
    <row r="258" spans="1:8" hidden="1" x14ac:dyDescent="0.25">
      <c r="A258">
        <v>4999</v>
      </c>
      <c r="B258" t="s">
        <v>148</v>
      </c>
      <c r="C258" t="s">
        <v>100</v>
      </c>
      <c r="D258" t="s">
        <v>101</v>
      </c>
      <c r="E258" t="s">
        <v>102</v>
      </c>
      <c r="F258" t="s">
        <v>6</v>
      </c>
      <c r="G258" s="107">
        <v>150500000</v>
      </c>
      <c r="H258" s="107">
        <v>4.12</v>
      </c>
    </row>
    <row r="259" spans="1:8" hidden="1" x14ac:dyDescent="0.25">
      <c r="A259">
        <v>5000</v>
      </c>
      <c r="B259" t="s">
        <v>148</v>
      </c>
      <c r="C259" t="s">
        <v>100</v>
      </c>
      <c r="D259" t="s">
        <v>103</v>
      </c>
      <c r="E259" t="s">
        <v>104</v>
      </c>
      <c r="F259" t="s">
        <v>6</v>
      </c>
      <c r="G259" s="107">
        <v>53880000</v>
      </c>
      <c r="H259" s="107">
        <v>4.12</v>
      </c>
    </row>
    <row r="260" spans="1:8" x14ac:dyDescent="0.25">
      <c r="A260">
        <v>5001</v>
      </c>
      <c r="B260" t="s">
        <v>148</v>
      </c>
      <c r="C260" t="s">
        <v>100</v>
      </c>
      <c r="D260" t="s">
        <v>105</v>
      </c>
      <c r="E260" t="s">
        <v>104</v>
      </c>
      <c r="F260" t="s">
        <v>6</v>
      </c>
      <c r="G260" s="107">
        <v>72330000</v>
      </c>
      <c r="H260" s="107">
        <v>4.12</v>
      </c>
    </row>
    <row r="261" spans="1:8" x14ac:dyDescent="0.25">
      <c r="A261">
        <v>5004</v>
      </c>
      <c r="B261" t="s">
        <v>148</v>
      </c>
      <c r="C261" t="s">
        <v>100</v>
      </c>
      <c r="D261" t="s">
        <v>106</v>
      </c>
      <c r="E261" t="s">
        <v>104</v>
      </c>
      <c r="F261" t="s">
        <v>6</v>
      </c>
      <c r="G261" s="107">
        <v>14990000</v>
      </c>
      <c r="H261" s="107">
        <v>4.12</v>
      </c>
    </row>
    <row r="262" spans="1:8" hidden="1" x14ac:dyDescent="0.25">
      <c r="A262">
        <v>5077</v>
      </c>
      <c r="B262" t="s">
        <v>149</v>
      </c>
      <c r="C262" t="s">
        <v>100</v>
      </c>
      <c r="D262" t="s">
        <v>101</v>
      </c>
      <c r="E262" t="s">
        <v>102</v>
      </c>
      <c r="F262" t="s">
        <v>6</v>
      </c>
      <c r="G262" s="107">
        <v>232200000</v>
      </c>
      <c r="H262" s="107">
        <v>4.12</v>
      </c>
    </row>
    <row r="263" spans="1:8" hidden="1" x14ac:dyDescent="0.25">
      <c r="A263">
        <v>5078</v>
      </c>
      <c r="B263" t="s">
        <v>149</v>
      </c>
      <c r="C263" t="s">
        <v>100</v>
      </c>
      <c r="D263" t="s">
        <v>103</v>
      </c>
      <c r="E263" t="s">
        <v>104</v>
      </c>
      <c r="F263" t="s">
        <v>6</v>
      </c>
      <c r="G263" s="107">
        <v>81320000</v>
      </c>
      <c r="H263" s="107">
        <v>4.1100000000000003</v>
      </c>
    </row>
    <row r="264" spans="1:8" x14ac:dyDescent="0.25">
      <c r="A264">
        <v>5079</v>
      </c>
      <c r="B264" t="s">
        <v>149</v>
      </c>
      <c r="C264" t="s">
        <v>100</v>
      </c>
      <c r="D264" t="s">
        <v>105</v>
      </c>
      <c r="E264" t="s">
        <v>104</v>
      </c>
      <c r="F264" t="s">
        <v>6</v>
      </c>
      <c r="G264" s="107">
        <v>107500000</v>
      </c>
      <c r="H264" s="107">
        <v>4.12</v>
      </c>
    </row>
    <row r="265" spans="1:8" x14ac:dyDescent="0.25">
      <c r="A265">
        <v>5082</v>
      </c>
      <c r="B265" t="s">
        <v>149</v>
      </c>
      <c r="C265" t="s">
        <v>100</v>
      </c>
      <c r="D265" t="s">
        <v>106</v>
      </c>
      <c r="E265" t="s">
        <v>104</v>
      </c>
      <c r="F265" t="s">
        <v>6</v>
      </c>
      <c r="G265" s="107">
        <v>15180000</v>
      </c>
      <c r="H265" s="107">
        <v>4.1100000000000003</v>
      </c>
    </row>
    <row r="266" spans="1:8" hidden="1" x14ac:dyDescent="0.25">
      <c r="A266">
        <v>5155</v>
      </c>
      <c r="B266" t="s">
        <v>150</v>
      </c>
      <c r="C266" t="s">
        <v>100</v>
      </c>
      <c r="D266" t="s">
        <v>101</v>
      </c>
      <c r="E266" t="s">
        <v>102</v>
      </c>
      <c r="F266" t="s">
        <v>6</v>
      </c>
      <c r="G266" s="107">
        <v>429800000</v>
      </c>
      <c r="H266" s="107">
        <v>4.12</v>
      </c>
    </row>
    <row r="267" spans="1:8" hidden="1" x14ac:dyDescent="0.25">
      <c r="A267">
        <v>5156</v>
      </c>
      <c r="B267" t="s">
        <v>150</v>
      </c>
      <c r="C267" t="s">
        <v>100</v>
      </c>
      <c r="D267" t="s">
        <v>103</v>
      </c>
      <c r="E267" t="s">
        <v>104</v>
      </c>
      <c r="F267" t="s">
        <v>6</v>
      </c>
      <c r="G267" s="107">
        <v>135600000</v>
      </c>
      <c r="H267" s="107">
        <v>4.1100000000000003</v>
      </c>
    </row>
    <row r="268" spans="1:8" x14ac:dyDescent="0.25">
      <c r="A268">
        <v>5157</v>
      </c>
      <c r="B268" t="s">
        <v>150</v>
      </c>
      <c r="C268" t="s">
        <v>100</v>
      </c>
      <c r="D268" t="s">
        <v>105</v>
      </c>
      <c r="E268" t="s">
        <v>104</v>
      </c>
      <c r="F268" t="s">
        <v>6</v>
      </c>
      <c r="G268" s="107">
        <v>173300000</v>
      </c>
      <c r="H268" s="107">
        <v>4.1100000000000003</v>
      </c>
    </row>
    <row r="269" spans="1:8" x14ac:dyDescent="0.25">
      <c r="A269">
        <v>5160</v>
      </c>
      <c r="B269" t="s">
        <v>150</v>
      </c>
      <c r="C269" t="s">
        <v>100</v>
      </c>
      <c r="D269" t="s">
        <v>106</v>
      </c>
      <c r="E269" t="s">
        <v>104</v>
      </c>
      <c r="F269" t="s">
        <v>6</v>
      </c>
      <c r="G269" s="107">
        <v>14220000</v>
      </c>
      <c r="H269" s="107">
        <v>4.1100000000000003</v>
      </c>
    </row>
    <row r="270" spans="1:8" hidden="1" x14ac:dyDescent="0.25">
      <c r="A270">
        <v>5233</v>
      </c>
      <c r="B270" t="s">
        <v>151</v>
      </c>
      <c r="C270" t="s">
        <v>100</v>
      </c>
      <c r="D270" t="s">
        <v>101</v>
      </c>
      <c r="E270" t="s">
        <v>102</v>
      </c>
      <c r="F270" t="s">
        <v>6</v>
      </c>
      <c r="G270" s="107">
        <v>715300000</v>
      </c>
      <c r="H270" s="107">
        <v>4.0999999999999996</v>
      </c>
    </row>
    <row r="271" spans="1:8" hidden="1" x14ac:dyDescent="0.25">
      <c r="A271">
        <v>5234</v>
      </c>
      <c r="B271" t="s">
        <v>151</v>
      </c>
      <c r="C271" t="s">
        <v>100</v>
      </c>
      <c r="D271" t="s">
        <v>103</v>
      </c>
      <c r="E271" t="s">
        <v>104</v>
      </c>
      <c r="F271" t="s">
        <v>6</v>
      </c>
      <c r="G271" s="107">
        <v>227100000</v>
      </c>
      <c r="H271" s="107">
        <v>4.0999999999999996</v>
      </c>
    </row>
    <row r="272" spans="1:8" x14ac:dyDescent="0.25">
      <c r="A272">
        <v>5235</v>
      </c>
      <c r="B272" t="s">
        <v>151</v>
      </c>
      <c r="C272" t="s">
        <v>100</v>
      </c>
      <c r="D272" t="s">
        <v>105</v>
      </c>
      <c r="E272" t="s">
        <v>104</v>
      </c>
      <c r="F272" t="s">
        <v>6</v>
      </c>
      <c r="G272" s="107">
        <v>316400000</v>
      </c>
      <c r="H272" s="107">
        <v>4.0999999999999996</v>
      </c>
    </row>
    <row r="273" spans="1:13" x14ac:dyDescent="0.25">
      <c r="A273">
        <v>5238</v>
      </c>
      <c r="B273" t="s">
        <v>151</v>
      </c>
      <c r="C273" t="s">
        <v>100</v>
      </c>
      <c r="D273" t="s">
        <v>106</v>
      </c>
      <c r="E273" t="s">
        <v>104</v>
      </c>
      <c r="F273" t="s">
        <v>6</v>
      </c>
      <c r="G273" s="107">
        <v>11860000</v>
      </c>
      <c r="H273" s="107">
        <v>4.09</v>
      </c>
    </row>
    <row r="274" spans="1:13" hidden="1" x14ac:dyDescent="0.25">
      <c r="A274">
        <v>5311</v>
      </c>
      <c r="B274" t="s">
        <v>152</v>
      </c>
      <c r="C274" t="s">
        <v>100</v>
      </c>
      <c r="D274" t="s">
        <v>101</v>
      </c>
      <c r="E274" t="s">
        <v>102</v>
      </c>
      <c r="F274" t="s">
        <v>6</v>
      </c>
      <c r="G274" s="107">
        <v>876200000</v>
      </c>
      <c r="H274" s="107">
        <v>4.13</v>
      </c>
    </row>
    <row r="275" spans="1:13" hidden="1" x14ac:dyDescent="0.25">
      <c r="A275">
        <v>5312</v>
      </c>
      <c r="B275" t="s">
        <v>152</v>
      </c>
      <c r="C275" t="s">
        <v>100</v>
      </c>
      <c r="D275" t="s">
        <v>103</v>
      </c>
      <c r="E275" t="s">
        <v>104</v>
      </c>
      <c r="F275" t="s">
        <v>6</v>
      </c>
      <c r="G275" s="107">
        <v>335100000</v>
      </c>
      <c r="H275" s="107">
        <v>4.13</v>
      </c>
    </row>
    <row r="276" spans="1:13" x14ac:dyDescent="0.25">
      <c r="A276">
        <v>5313</v>
      </c>
      <c r="B276" t="s">
        <v>152</v>
      </c>
      <c r="C276" t="s">
        <v>100</v>
      </c>
      <c r="D276" t="s">
        <v>105</v>
      </c>
      <c r="E276" t="s">
        <v>104</v>
      </c>
      <c r="F276" t="s">
        <v>6</v>
      </c>
      <c r="G276" s="107">
        <v>512900000</v>
      </c>
      <c r="H276" s="107">
        <v>4.13</v>
      </c>
    </row>
    <row r="277" spans="1:13" x14ac:dyDescent="0.25">
      <c r="A277">
        <v>5316</v>
      </c>
      <c r="B277" t="s">
        <v>152</v>
      </c>
      <c r="C277" t="s">
        <v>100</v>
      </c>
      <c r="D277" t="s">
        <v>106</v>
      </c>
      <c r="E277" t="s">
        <v>104</v>
      </c>
      <c r="F277" t="s">
        <v>6</v>
      </c>
      <c r="G277" s="107">
        <v>8855000</v>
      </c>
      <c r="H277" s="107">
        <v>4.12</v>
      </c>
    </row>
    <row r="278" spans="1:13" hidden="1" x14ac:dyDescent="0.25">
      <c r="A278">
        <v>5389</v>
      </c>
      <c r="B278" t="s">
        <v>114</v>
      </c>
      <c r="C278" t="s">
        <v>100</v>
      </c>
      <c r="D278" t="s">
        <v>101</v>
      </c>
      <c r="E278" t="s">
        <v>102</v>
      </c>
      <c r="F278" t="s">
        <v>6</v>
      </c>
      <c r="G278" s="107">
        <v>567400</v>
      </c>
      <c r="H278" s="107">
        <v>4.1900000000000004</v>
      </c>
    </row>
    <row r="279" spans="1:13" hidden="1" x14ac:dyDescent="0.25">
      <c r="A279">
        <v>5390</v>
      </c>
      <c r="B279" t="s">
        <v>114</v>
      </c>
      <c r="C279" t="s">
        <v>100</v>
      </c>
      <c r="D279" t="s">
        <v>103</v>
      </c>
      <c r="E279" t="s">
        <v>104</v>
      </c>
      <c r="F279" t="s">
        <v>6</v>
      </c>
      <c r="G279" s="107">
        <v>207700</v>
      </c>
      <c r="H279" s="107">
        <v>4.18</v>
      </c>
    </row>
    <row r="280" spans="1:13" x14ac:dyDescent="0.25">
      <c r="A280">
        <v>5391</v>
      </c>
      <c r="B280" t="s">
        <v>114</v>
      </c>
      <c r="C280" t="s">
        <v>100</v>
      </c>
      <c r="D280" t="s">
        <v>105</v>
      </c>
      <c r="E280" t="s">
        <v>104</v>
      </c>
      <c r="F280" t="s">
        <v>6</v>
      </c>
      <c r="G280" s="107">
        <v>278100</v>
      </c>
      <c r="H280" s="107">
        <v>4.18</v>
      </c>
    </row>
    <row r="281" spans="1:13" x14ac:dyDescent="0.25">
      <c r="A281">
        <v>5394</v>
      </c>
      <c r="B281" t="s">
        <v>114</v>
      </c>
      <c r="C281" t="s">
        <v>100</v>
      </c>
      <c r="D281" t="s">
        <v>106</v>
      </c>
      <c r="E281" t="s">
        <v>104</v>
      </c>
      <c r="F281" t="s">
        <v>6</v>
      </c>
      <c r="G281" s="107">
        <v>8339</v>
      </c>
      <c r="H281" s="107">
        <v>4.21</v>
      </c>
    </row>
    <row r="282" spans="1:13" hidden="1" x14ac:dyDescent="0.25">
      <c r="A282">
        <v>5467</v>
      </c>
      <c r="B282" t="s">
        <v>153</v>
      </c>
      <c r="C282" t="s">
        <v>100</v>
      </c>
      <c r="D282" t="s">
        <v>101</v>
      </c>
      <c r="E282" t="s">
        <v>102</v>
      </c>
      <c r="F282" t="s">
        <v>6</v>
      </c>
      <c r="G282" s="107">
        <v>257400000</v>
      </c>
      <c r="H282" s="107">
        <v>4.13</v>
      </c>
      <c r="I282" s="107"/>
      <c r="L282" s="107"/>
    </row>
    <row r="283" spans="1:13" hidden="1" x14ac:dyDescent="0.25">
      <c r="A283">
        <v>5468</v>
      </c>
      <c r="B283" t="s">
        <v>153</v>
      </c>
      <c r="C283" t="s">
        <v>100</v>
      </c>
      <c r="D283" t="s">
        <v>103</v>
      </c>
      <c r="E283" t="s">
        <v>104</v>
      </c>
      <c r="F283" t="s">
        <v>6</v>
      </c>
      <c r="G283" s="107">
        <v>89900000</v>
      </c>
      <c r="H283" s="107">
        <v>4.13</v>
      </c>
    </row>
    <row r="284" spans="1:13" x14ac:dyDescent="0.25">
      <c r="A284">
        <v>5469</v>
      </c>
      <c r="B284" t="s">
        <v>153</v>
      </c>
      <c r="C284" t="s">
        <v>100</v>
      </c>
      <c r="D284" t="s">
        <v>105</v>
      </c>
      <c r="E284" t="s">
        <v>104</v>
      </c>
      <c r="F284" t="s">
        <v>6</v>
      </c>
      <c r="G284" s="107">
        <v>115300000</v>
      </c>
      <c r="H284" s="107">
        <v>4.13</v>
      </c>
    </row>
    <row r="285" spans="1:13" x14ac:dyDescent="0.25">
      <c r="A285">
        <v>5472</v>
      </c>
      <c r="B285" t="s">
        <v>153</v>
      </c>
      <c r="C285" t="s">
        <v>100</v>
      </c>
      <c r="D285" t="s">
        <v>106</v>
      </c>
      <c r="E285" t="s">
        <v>104</v>
      </c>
      <c r="F285" t="s">
        <v>6</v>
      </c>
      <c r="G285" s="107">
        <v>24920000</v>
      </c>
      <c r="H285" s="107">
        <v>4.12</v>
      </c>
      <c r="I285" s="107"/>
      <c r="L285" s="107"/>
      <c r="M285" s="108"/>
    </row>
    <row r="286" spans="1:13" hidden="1" x14ac:dyDescent="0.25">
      <c r="A286">
        <v>5545</v>
      </c>
      <c r="B286" t="s">
        <v>154</v>
      </c>
      <c r="C286" t="s">
        <v>100</v>
      </c>
      <c r="D286" t="s">
        <v>101</v>
      </c>
      <c r="E286" t="s">
        <v>102</v>
      </c>
      <c r="F286" t="s">
        <v>6</v>
      </c>
      <c r="G286" s="107">
        <v>52060000</v>
      </c>
      <c r="H286" s="107">
        <v>4.13</v>
      </c>
      <c r="I286" s="107"/>
      <c r="L286" s="107"/>
      <c r="M286" s="108"/>
    </row>
    <row r="287" spans="1:13" hidden="1" x14ac:dyDescent="0.25">
      <c r="A287">
        <v>5546</v>
      </c>
      <c r="B287" t="s">
        <v>154</v>
      </c>
      <c r="C287" t="s">
        <v>100</v>
      </c>
      <c r="D287" t="s">
        <v>103</v>
      </c>
      <c r="E287" t="s">
        <v>104</v>
      </c>
      <c r="F287" t="s">
        <v>6</v>
      </c>
      <c r="G287" s="107">
        <v>17620000</v>
      </c>
      <c r="H287" s="107">
        <v>4.13</v>
      </c>
    </row>
    <row r="288" spans="1:13" x14ac:dyDescent="0.25">
      <c r="A288">
        <v>5547</v>
      </c>
      <c r="B288" t="s">
        <v>154</v>
      </c>
      <c r="C288" t="s">
        <v>100</v>
      </c>
      <c r="D288" t="s">
        <v>105</v>
      </c>
      <c r="E288" t="s">
        <v>104</v>
      </c>
      <c r="F288" t="s">
        <v>6</v>
      </c>
      <c r="G288" s="107">
        <v>24730000</v>
      </c>
      <c r="H288" s="107">
        <v>4.13</v>
      </c>
    </row>
    <row r="289" spans="1:9" x14ac:dyDescent="0.25">
      <c r="A289">
        <v>5550</v>
      </c>
      <c r="B289" t="s">
        <v>154</v>
      </c>
      <c r="C289" t="s">
        <v>100</v>
      </c>
      <c r="D289" t="s">
        <v>106</v>
      </c>
      <c r="E289" t="s">
        <v>104</v>
      </c>
      <c r="F289" t="s">
        <v>6</v>
      </c>
      <c r="G289" s="107">
        <v>27340000</v>
      </c>
      <c r="H289" s="107">
        <v>4.12</v>
      </c>
      <c r="I289" s="107"/>
    </row>
    <row r="290" spans="1:9" hidden="1" x14ac:dyDescent="0.25">
      <c r="A290">
        <v>5623</v>
      </c>
      <c r="B290" t="s">
        <v>155</v>
      </c>
      <c r="C290" t="s">
        <v>100</v>
      </c>
      <c r="D290" t="s">
        <v>101</v>
      </c>
      <c r="E290" t="s">
        <v>102</v>
      </c>
      <c r="F290" t="s">
        <v>6</v>
      </c>
      <c r="G290" s="107">
        <v>298100000</v>
      </c>
      <c r="H290" s="107">
        <v>4.12</v>
      </c>
      <c r="I290" s="107"/>
    </row>
    <row r="291" spans="1:9" hidden="1" x14ac:dyDescent="0.25">
      <c r="A291">
        <v>5624</v>
      </c>
      <c r="B291" t="s">
        <v>155</v>
      </c>
      <c r="C291" t="s">
        <v>100</v>
      </c>
      <c r="D291" t="s">
        <v>103</v>
      </c>
      <c r="E291" t="s">
        <v>104</v>
      </c>
      <c r="F291" t="s">
        <v>6</v>
      </c>
      <c r="G291" s="107">
        <v>96570000</v>
      </c>
      <c r="H291" s="107">
        <v>4.12</v>
      </c>
    </row>
    <row r="292" spans="1:9" x14ac:dyDescent="0.25">
      <c r="A292">
        <v>5625</v>
      </c>
      <c r="B292" t="s">
        <v>155</v>
      </c>
      <c r="C292" t="s">
        <v>100</v>
      </c>
      <c r="D292" t="s">
        <v>105</v>
      </c>
      <c r="E292" t="s">
        <v>104</v>
      </c>
      <c r="F292" t="s">
        <v>6</v>
      </c>
      <c r="G292" s="107">
        <v>132300000</v>
      </c>
      <c r="H292" s="107">
        <v>4.12</v>
      </c>
    </row>
    <row r="293" spans="1:9" x14ac:dyDescent="0.25">
      <c r="A293">
        <v>5628</v>
      </c>
      <c r="B293" t="s">
        <v>155</v>
      </c>
      <c r="C293" t="s">
        <v>100</v>
      </c>
      <c r="D293" t="s">
        <v>106</v>
      </c>
      <c r="E293" t="s">
        <v>104</v>
      </c>
      <c r="F293" t="s">
        <v>6</v>
      </c>
      <c r="G293" s="107">
        <v>25230000</v>
      </c>
      <c r="H293" s="107">
        <v>4.1100000000000003</v>
      </c>
      <c r="I293" s="107"/>
    </row>
    <row r="294" spans="1:9" hidden="1" x14ac:dyDescent="0.25">
      <c r="A294">
        <v>5701</v>
      </c>
      <c r="B294" t="s">
        <v>156</v>
      </c>
      <c r="C294" t="s">
        <v>100</v>
      </c>
      <c r="D294" t="s">
        <v>101</v>
      </c>
      <c r="E294" t="s">
        <v>102</v>
      </c>
      <c r="F294" t="s">
        <v>6</v>
      </c>
      <c r="G294" s="107">
        <v>277400000</v>
      </c>
      <c r="H294" s="107">
        <v>4.12</v>
      </c>
      <c r="I294" s="107"/>
    </row>
    <row r="295" spans="1:9" hidden="1" x14ac:dyDescent="0.25">
      <c r="A295">
        <v>5702</v>
      </c>
      <c r="B295" t="s">
        <v>156</v>
      </c>
      <c r="C295" t="s">
        <v>100</v>
      </c>
      <c r="D295" t="s">
        <v>103</v>
      </c>
      <c r="E295" t="s">
        <v>104</v>
      </c>
      <c r="F295" t="s">
        <v>6</v>
      </c>
      <c r="G295" s="107">
        <v>94020000</v>
      </c>
      <c r="H295" s="107">
        <v>4.13</v>
      </c>
    </row>
    <row r="296" spans="1:9" x14ac:dyDescent="0.25">
      <c r="A296">
        <v>5703</v>
      </c>
      <c r="B296" t="s">
        <v>156</v>
      </c>
      <c r="C296" t="s">
        <v>100</v>
      </c>
      <c r="D296" t="s">
        <v>105</v>
      </c>
      <c r="E296" t="s">
        <v>104</v>
      </c>
      <c r="F296" t="s">
        <v>6</v>
      </c>
      <c r="G296" s="107">
        <v>129300000</v>
      </c>
      <c r="H296" s="107">
        <v>4.12</v>
      </c>
    </row>
    <row r="297" spans="1:9" x14ac:dyDescent="0.25">
      <c r="A297">
        <v>5706</v>
      </c>
      <c r="B297" t="s">
        <v>156</v>
      </c>
      <c r="C297" t="s">
        <v>100</v>
      </c>
      <c r="D297" t="s">
        <v>106</v>
      </c>
      <c r="E297" t="s">
        <v>104</v>
      </c>
      <c r="F297" t="s">
        <v>6</v>
      </c>
      <c r="G297" s="107">
        <v>27070000</v>
      </c>
      <c r="H297" s="107">
        <v>4.12</v>
      </c>
      <c r="I297" s="107"/>
    </row>
    <row r="298" spans="1:9" hidden="1" x14ac:dyDescent="0.25">
      <c r="A298">
        <v>5779</v>
      </c>
      <c r="B298" t="s">
        <v>153</v>
      </c>
      <c r="C298" t="s">
        <v>100</v>
      </c>
      <c r="D298" t="s">
        <v>101</v>
      </c>
      <c r="E298" t="s">
        <v>102</v>
      </c>
      <c r="F298" t="s">
        <v>6</v>
      </c>
      <c r="G298" s="107">
        <v>258900000</v>
      </c>
      <c r="H298" s="107">
        <v>4.13</v>
      </c>
      <c r="I298" s="107"/>
    </row>
    <row r="299" spans="1:9" hidden="1" x14ac:dyDescent="0.25">
      <c r="A299">
        <v>5780</v>
      </c>
      <c r="B299" t="s">
        <v>153</v>
      </c>
      <c r="C299" t="s">
        <v>100</v>
      </c>
      <c r="D299" t="s">
        <v>103</v>
      </c>
      <c r="E299" t="s">
        <v>104</v>
      </c>
      <c r="F299" t="s">
        <v>6</v>
      </c>
      <c r="G299" s="107">
        <v>87870000</v>
      </c>
      <c r="H299" s="107">
        <v>4.13</v>
      </c>
    </row>
    <row r="300" spans="1:9" x14ac:dyDescent="0.25">
      <c r="A300">
        <v>5781</v>
      </c>
      <c r="B300" t="s">
        <v>153</v>
      </c>
      <c r="C300" t="s">
        <v>100</v>
      </c>
      <c r="D300" t="s">
        <v>105</v>
      </c>
      <c r="E300" t="s">
        <v>104</v>
      </c>
      <c r="F300" t="s">
        <v>6</v>
      </c>
      <c r="G300" s="107">
        <v>122000000</v>
      </c>
      <c r="H300" s="107">
        <v>4.13</v>
      </c>
    </row>
    <row r="301" spans="1:9" x14ac:dyDescent="0.25">
      <c r="A301">
        <v>5784</v>
      </c>
      <c r="B301" t="s">
        <v>153</v>
      </c>
      <c r="C301" t="s">
        <v>100</v>
      </c>
      <c r="D301" t="s">
        <v>106</v>
      </c>
      <c r="E301" t="s">
        <v>104</v>
      </c>
      <c r="F301" t="s">
        <v>6</v>
      </c>
      <c r="G301" s="107">
        <v>24820000</v>
      </c>
      <c r="H301" s="107">
        <v>4.13</v>
      </c>
      <c r="I301" s="107"/>
    </row>
    <row r="302" spans="1:9" hidden="1" x14ac:dyDescent="0.25">
      <c r="A302">
        <v>5857</v>
      </c>
      <c r="B302" t="s">
        <v>154</v>
      </c>
      <c r="C302" t="s">
        <v>100</v>
      </c>
      <c r="D302" t="s">
        <v>101</v>
      </c>
      <c r="E302" t="s">
        <v>102</v>
      </c>
      <c r="F302" t="s">
        <v>6</v>
      </c>
      <c r="G302" s="107">
        <v>55210000</v>
      </c>
      <c r="H302" s="107">
        <v>4.13</v>
      </c>
      <c r="I302" s="107"/>
    </row>
    <row r="303" spans="1:9" hidden="1" x14ac:dyDescent="0.25">
      <c r="A303">
        <v>5858</v>
      </c>
      <c r="B303" t="s">
        <v>154</v>
      </c>
      <c r="C303" t="s">
        <v>100</v>
      </c>
      <c r="D303" t="s">
        <v>103</v>
      </c>
      <c r="E303" t="s">
        <v>104</v>
      </c>
      <c r="F303" t="s">
        <v>6</v>
      </c>
      <c r="G303" s="107">
        <v>18840000</v>
      </c>
      <c r="H303" s="107">
        <v>4.13</v>
      </c>
    </row>
    <row r="304" spans="1:9" x14ac:dyDescent="0.25">
      <c r="A304">
        <v>5859</v>
      </c>
      <c r="B304" t="s">
        <v>154</v>
      </c>
      <c r="C304" t="s">
        <v>100</v>
      </c>
      <c r="D304" t="s">
        <v>105</v>
      </c>
      <c r="E304" t="s">
        <v>104</v>
      </c>
      <c r="F304" t="s">
        <v>6</v>
      </c>
      <c r="G304" s="107">
        <v>23320000</v>
      </c>
      <c r="H304" s="107">
        <v>4.13</v>
      </c>
    </row>
    <row r="305" spans="1:9" x14ac:dyDescent="0.25">
      <c r="A305">
        <v>5862</v>
      </c>
      <c r="B305" t="s">
        <v>154</v>
      </c>
      <c r="C305" t="s">
        <v>100</v>
      </c>
      <c r="D305" t="s">
        <v>106</v>
      </c>
      <c r="E305" t="s">
        <v>104</v>
      </c>
      <c r="F305" t="s">
        <v>6</v>
      </c>
      <c r="G305" s="107">
        <v>27640000</v>
      </c>
      <c r="H305" s="107">
        <v>4.12</v>
      </c>
      <c r="I305" s="107"/>
    </row>
    <row r="306" spans="1:9" hidden="1" x14ac:dyDescent="0.25">
      <c r="A306">
        <v>5935</v>
      </c>
      <c r="B306" t="s">
        <v>155</v>
      </c>
      <c r="C306" t="s">
        <v>100</v>
      </c>
      <c r="D306" t="s">
        <v>101</v>
      </c>
      <c r="E306" t="s">
        <v>102</v>
      </c>
      <c r="F306" t="s">
        <v>6</v>
      </c>
      <c r="G306" s="107">
        <v>281000000</v>
      </c>
      <c r="H306" s="107">
        <v>4.1100000000000003</v>
      </c>
      <c r="I306" s="107"/>
    </row>
    <row r="307" spans="1:9" hidden="1" x14ac:dyDescent="0.25">
      <c r="A307">
        <v>5936</v>
      </c>
      <c r="B307" t="s">
        <v>155</v>
      </c>
      <c r="C307" t="s">
        <v>100</v>
      </c>
      <c r="D307" t="s">
        <v>103</v>
      </c>
      <c r="E307" t="s">
        <v>104</v>
      </c>
      <c r="F307" t="s">
        <v>6</v>
      </c>
      <c r="G307" s="107">
        <v>94730000</v>
      </c>
      <c r="H307" s="107">
        <v>4.12</v>
      </c>
    </row>
    <row r="308" spans="1:9" x14ac:dyDescent="0.25">
      <c r="A308">
        <v>5937</v>
      </c>
      <c r="B308" t="s">
        <v>155</v>
      </c>
      <c r="C308" t="s">
        <v>100</v>
      </c>
      <c r="D308" t="s">
        <v>105</v>
      </c>
      <c r="E308" t="s">
        <v>104</v>
      </c>
      <c r="F308" t="s">
        <v>6</v>
      </c>
      <c r="G308" s="107">
        <v>125400000</v>
      </c>
      <c r="H308" s="107">
        <v>4.12</v>
      </c>
    </row>
    <row r="309" spans="1:9" x14ac:dyDescent="0.25">
      <c r="A309">
        <v>5940</v>
      </c>
      <c r="B309" t="s">
        <v>155</v>
      </c>
      <c r="C309" t="s">
        <v>100</v>
      </c>
      <c r="D309" t="s">
        <v>106</v>
      </c>
      <c r="E309" t="s">
        <v>104</v>
      </c>
      <c r="F309" t="s">
        <v>6</v>
      </c>
      <c r="G309" s="107">
        <v>25590000</v>
      </c>
      <c r="H309" s="107">
        <v>4.1100000000000003</v>
      </c>
      <c r="I309" s="107"/>
    </row>
    <row r="310" spans="1:9" hidden="1" x14ac:dyDescent="0.25">
      <c r="A310">
        <v>6013</v>
      </c>
      <c r="B310" t="s">
        <v>156</v>
      </c>
      <c r="C310" t="s">
        <v>100</v>
      </c>
      <c r="D310" t="s">
        <v>101</v>
      </c>
      <c r="E310" t="s">
        <v>102</v>
      </c>
      <c r="F310" t="s">
        <v>6</v>
      </c>
      <c r="G310" s="107">
        <v>280600000</v>
      </c>
      <c r="H310" s="107">
        <v>4.13</v>
      </c>
      <c r="I310" s="107"/>
    </row>
    <row r="311" spans="1:9" hidden="1" x14ac:dyDescent="0.25">
      <c r="A311">
        <v>6014</v>
      </c>
      <c r="B311" t="s">
        <v>156</v>
      </c>
      <c r="C311" t="s">
        <v>100</v>
      </c>
      <c r="D311" t="s">
        <v>103</v>
      </c>
      <c r="E311" t="s">
        <v>104</v>
      </c>
      <c r="F311" t="s">
        <v>6</v>
      </c>
      <c r="G311" s="107">
        <v>92450000</v>
      </c>
      <c r="H311" s="107">
        <v>4.13</v>
      </c>
    </row>
    <row r="312" spans="1:9" x14ac:dyDescent="0.25">
      <c r="A312">
        <v>6015</v>
      </c>
      <c r="B312" t="s">
        <v>156</v>
      </c>
      <c r="C312" t="s">
        <v>100</v>
      </c>
      <c r="D312" t="s">
        <v>105</v>
      </c>
      <c r="E312" t="s">
        <v>104</v>
      </c>
      <c r="F312" t="s">
        <v>6</v>
      </c>
      <c r="G312" s="107">
        <v>129500000</v>
      </c>
      <c r="H312" s="107">
        <v>4.13</v>
      </c>
    </row>
    <row r="313" spans="1:9" x14ac:dyDescent="0.25">
      <c r="A313">
        <v>6018</v>
      </c>
      <c r="B313" t="s">
        <v>156</v>
      </c>
      <c r="C313" t="s">
        <v>100</v>
      </c>
      <c r="D313" t="s">
        <v>106</v>
      </c>
      <c r="E313" t="s">
        <v>104</v>
      </c>
      <c r="F313" t="s">
        <v>6</v>
      </c>
      <c r="G313" s="107">
        <v>25890000</v>
      </c>
      <c r="H313" s="107">
        <v>4.12</v>
      </c>
      <c r="I313" s="107"/>
    </row>
    <row r="314" spans="1:9" hidden="1" x14ac:dyDescent="0.25">
      <c r="A314">
        <v>6091</v>
      </c>
      <c r="B314" t="s">
        <v>153</v>
      </c>
      <c r="C314" t="s">
        <v>100</v>
      </c>
      <c r="D314" t="s">
        <v>101</v>
      </c>
      <c r="E314" t="s">
        <v>102</v>
      </c>
      <c r="F314" t="s">
        <v>6</v>
      </c>
      <c r="G314" s="107">
        <v>255700000</v>
      </c>
      <c r="H314" s="107">
        <v>4.1399999999999997</v>
      </c>
      <c r="I314" s="107"/>
    </row>
    <row r="315" spans="1:9" hidden="1" x14ac:dyDescent="0.25">
      <c r="A315">
        <v>6092</v>
      </c>
      <c r="B315" t="s">
        <v>153</v>
      </c>
      <c r="C315" t="s">
        <v>100</v>
      </c>
      <c r="D315" t="s">
        <v>103</v>
      </c>
      <c r="E315" t="s">
        <v>104</v>
      </c>
      <c r="F315" t="s">
        <v>6</v>
      </c>
      <c r="G315" s="107">
        <v>86580000</v>
      </c>
      <c r="H315" s="107">
        <v>4.1399999999999997</v>
      </c>
    </row>
    <row r="316" spans="1:9" x14ac:dyDescent="0.25">
      <c r="A316">
        <v>6093</v>
      </c>
      <c r="B316" t="s">
        <v>153</v>
      </c>
      <c r="C316" t="s">
        <v>100</v>
      </c>
      <c r="D316" t="s">
        <v>105</v>
      </c>
      <c r="E316" t="s">
        <v>104</v>
      </c>
      <c r="F316" t="s">
        <v>6</v>
      </c>
      <c r="G316" s="107">
        <v>122900000</v>
      </c>
      <c r="H316" s="107">
        <v>4.1399999999999997</v>
      </c>
    </row>
    <row r="317" spans="1:9" x14ac:dyDescent="0.25">
      <c r="A317">
        <v>6096</v>
      </c>
      <c r="B317" t="s">
        <v>153</v>
      </c>
      <c r="C317" t="s">
        <v>100</v>
      </c>
      <c r="D317" t="s">
        <v>106</v>
      </c>
      <c r="E317" t="s">
        <v>104</v>
      </c>
      <c r="F317" t="s">
        <v>6</v>
      </c>
      <c r="G317" s="107">
        <v>24710000</v>
      </c>
      <c r="H317" s="107">
        <v>4.13</v>
      </c>
      <c r="I317" s="107"/>
    </row>
    <row r="318" spans="1:9" hidden="1" x14ac:dyDescent="0.25">
      <c r="A318">
        <v>6169</v>
      </c>
      <c r="B318" t="s">
        <v>154</v>
      </c>
      <c r="C318" t="s">
        <v>100</v>
      </c>
      <c r="D318" t="s">
        <v>101</v>
      </c>
      <c r="E318" t="s">
        <v>102</v>
      </c>
      <c r="F318" t="s">
        <v>6</v>
      </c>
      <c r="G318" s="107">
        <v>53630000</v>
      </c>
      <c r="H318" s="107">
        <v>4.12</v>
      </c>
      <c r="I318" s="107"/>
    </row>
    <row r="319" spans="1:9" hidden="1" x14ac:dyDescent="0.25">
      <c r="A319">
        <v>6170</v>
      </c>
      <c r="B319" t="s">
        <v>154</v>
      </c>
      <c r="C319" t="s">
        <v>100</v>
      </c>
      <c r="D319" t="s">
        <v>103</v>
      </c>
      <c r="E319" t="s">
        <v>104</v>
      </c>
      <c r="F319" t="s">
        <v>6</v>
      </c>
      <c r="G319" s="107">
        <v>17740000</v>
      </c>
      <c r="H319" s="107">
        <v>4.12</v>
      </c>
    </row>
    <row r="320" spans="1:9" x14ac:dyDescent="0.25">
      <c r="A320">
        <v>6171</v>
      </c>
      <c r="B320" t="s">
        <v>154</v>
      </c>
      <c r="C320" t="s">
        <v>100</v>
      </c>
      <c r="D320" t="s">
        <v>105</v>
      </c>
      <c r="E320" t="s">
        <v>104</v>
      </c>
      <c r="F320" t="s">
        <v>6</v>
      </c>
      <c r="G320" s="107">
        <v>23960000</v>
      </c>
      <c r="H320" s="107">
        <v>4.12</v>
      </c>
    </row>
    <row r="321" spans="1:9" x14ac:dyDescent="0.25">
      <c r="A321">
        <v>6174</v>
      </c>
      <c r="B321" t="s">
        <v>154</v>
      </c>
      <c r="C321" t="s">
        <v>100</v>
      </c>
      <c r="D321" t="s">
        <v>106</v>
      </c>
      <c r="E321" t="s">
        <v>104</v>
      </c>
      <c r="F321" t="s">
        <v>6</v>
      </c>
      <c r="G321" s="107">
        <v>26010000</v>
      </c>
      <c r="H321" s="107">
        <v>4.1100000000000003</v>
      </c>
      <c r="I321" s="107"/>
    </row>
    <row r="322" spans="1:9" hidden="1" x14ac:dyDescent="0.25">
      <c r="A322">
        <v>6247</v>
      </c>
      <c r="B322" t="s">
        <v>155</v>
      </c>
      <c r="C322" t="s">
        <v>100</v>
      </c>
      <c r="D322" t="s">
        <v>101</v>
      </c>
      <c r="E322" t="s">
        <v>102</v>
      </c>
      <c r="F322" t="s">
        <v>6</v>
      </c>
      <c r="G322" s="107">
        <v>286300000</v>
      </c>
      <c r="H322" s="107">
        <v>4.13</v>
      </c>
      <c r="I322" s="107"/>
    </row>
    <row r="323" spans="1:9" hidden="1" x14ac:dyDescent="0.25">
      <c r="A323">
        <v>6248</v>
      </c>
      <c r="B323" t="s">
        <v>155</v>
      </c>
      <c r="C323" t="s">
        <v>100</v>
      </c>
      <c r="D323" t="s">
        <v>103</v>
      </c>
      <c r="E323" t="s">
        <v>104</v>
      </c>
      <c r="F323" t="s">
        <v>6</v>
      </c>
      <c r="G323" s="107">
        <v>95820000</v>
      </c>
      <c r="H323" s="107">
        <v>4.13</v>
      </c>
    </row>
    <row r="324" spans="1:9" x14ac:dyDescent="0.25">
      <c r="A324">
        <v>6249</v>
      </c>
      <c r="B324" t="s">
        <v>155</v>
      </c>
      <c r="C324" t="s">
        <v>100</v>
      </c>
      <c r="D324" t="s">
        <v>105</v>
      </c>
      <c r="E324" t="s">
        <v>104</v>
      </c>
      <c r="F324" t="s">
        <v>6</v>
      </c>
      <c r="G324" s="107">
        <v>127300000</v>
      </c>
      <c r="H324" s="107">
        <v>4.13</v>
      </c>
    </row>
    <row r="325" spans="1:9" x14ac:dyDescent="0.25">
      <c r="A325">
        <v>6252</v>
      </c>
      <c r="B325" t="s">
        <v>155</v>
      </c>
      <c r="C325" t="s">
        <v>100</v>
      </c>
      <c r="D325" t="s">
        <v>106</v>
      </c>
      <c r="E325" t="s">
        <v>104</v>
      </c>
      <c r="F325" t="s">
        <v>6</v>
      </c>
      <c r="G325" s="107">
        <v>24780000</v>
      </c>
      <c r="H325" s="107">
        <v>4.12</v>
      </c>
      <c r="I325" s="107"/>
    </row>
    <row r="326" spans="1:9" hidden="1" x14ac:dyDescent="0.25">
      <c r="A326">
        <v>6325</v>
      </c>
      <c r="B326" t="s">
        <v>156</v>
      </c>
      <c r="C326" t="s">
        <v>100</v>
      </c>
      <c r="D326" t="s">
        <v>101</v>
      </c>
      <c r="E326" t="s">
        <v>102</v>
      </c>
      <c r="F326" t="s">
        <v>6</v>
      </c>
      <c r="G326" s="107">
        <v>256100000</v>
      </c>
      <c r="H326" s="107">
        <v>4.12</v>
      </c>
      <c r="I326" s="107"/>
    </row>
    <row r="327" spans="1:9" hidden="1" x14ac:dyDescent="0.25">
      <c r="A327">
        <v>6326</v>
      </c>
      <c r="B327" t="s">
        <v>156</v>
      </c>
      <c r="C327" t="s">
        <v>100</v>
      </c>
      <c r="D327" t="s">
        <v>103</v>
      </c>
      <c r="E327" t="s">
        <v>104</v>
      </c>
      <c r="F327" t="s">
        <v>6</v>
      </c>
      <c r="G327" s="107">
        <v>93420000</v>
      </c>
      <c r="H327" s="107">
        <v>4.12</v>
      </c>
    </row>
    <row r="328" spans="1:9" x14ac:dyDescent="0.25">
      <c r="A328">
        <v>6327</v>
      </c>
      <c r="B328" t="s">
        <v>156</v>
      </c>
      <c r="C328" t="s">
        <v>100</v>
      </c>
      <c r="D328" t="s">
        <v>105</v>
      </c>
      <c r="E328" t="s">
        <v>104</v>
      </c>
      <c r="F328" t="s">
        <v>6</v>
      </c>
      <c r="G328" s="107">
        <v>128400000</v>
      </c>
      <c r="H328" s="107">
        <v>4.12</v>
      </c>
    </row>
    <row r="329" spans="1:9" x14ac:dyDescent="0.25">
      <c r="A329">
        <v>6330</v>
      </c>
      <c r="B329" t="s">
        <v>156</v>
      </c>
      <c r="C329" t="s">
        <v>100</v>
      </c>
      <c r="D329" t="s">
        <v>106</v>
      </c>
      <c r="E329" t="s">
        <v>104</v>
      </c>
      <c r="F329" t="s">
        <v>6</v>
      </c>
      <c r="G329" s="107">
        <v>26640000</v>
      </c>
      <c r="H329" s="107">
        <v>4.12</v>
      </c>
      <c r="I329" s="107"/>
    </row>
    <row r="330" spans="1:9" hidden="1" x14ac:dyDescent="0.25">
      <c r="A330">
        <v>6403</v>
      </c>
      <c r="B330" t="s">
        <v>153</v>
      </c>
      <c r="C330" t="s">
        <v>100</v>
      </c>
      <c r="D330" t="s">
        <v>101</v>
      </c>
      <c r="E330" t="s">
        <v>102</v>
      </c>
      <c r="F330" t="s">
        <v>6</v>
      </c>
      <c r="G330" s="107">
        <v>249400000</v>
      </c>
      <c r="H330" s="107">
        <v>4.13</v>
      </c>
      <c r="I330" s="107"/>
    </row>
    <row r="331" spans="1:9" hidden="1" x14ac:dyDescent="0.25">
      <c r="A331">
        <v>6404</v>
      </c>
      <c r="B331" t="s">
        <v>153</v>
      </c>
      <c r="C331" t="s">
        <v>100</v>
      </c>
      <c r="D331" t="s">
        <v>103</v>
      </c>
      <c r="E331" t="s">
        <v>104</v>
      </c>
      <c r="F331" t="s">
        <v>6</v>
      </c>
      <c r="G331" s="107">
        <v>90740000</v>
      </c>
      <c r="H331" s="107">
        <v>4.13</v>
      </c>
    </row>
    <row r="332" spans="1:9" x14ac:dyDescent="0.25">
      <c r="A332">
        <v>6405</v>
      </c>
      <c r="B332" t="s">
        <v>153</v>
      </c>
      <c r="C332" t="s">
        <v>100</v>
      </c>
      <c r="D332" t="s">
        <v>105</v>
      </c>
      <c r="E332" t="s">
        <v>104</v>
      </c>
      <c r="F332" t="s">
        <v>6</v>
      </c>
      <c r="G332" s="107">
        <v>126900000</v>
      </c>
      <c r="H332" s="107">
        <v>4.13</v>
      </c>
    </row>
    <row r="333" spans="1:9" x14ac:dyDescent="0.25">
      <c r="A333">
        <v>6408</v>
      </c>
      <c r="B333" t="s">
        <v>153</v>
      </c>
      <c r="C333" t="s">
        <v>100</v>
      </c>
      <c r="D333" t="s">
        <v>106</v>
      </c>
      <c r="E333" t="s">
        <v>104</v>
      </c>
      <c r="F333" t="s">
        <v>6</v>
      </c>
      <c r="G333" s="107">
        <v>23730000</v>
      </c>
      <c r="H333" s="107">
        <v>4.12</v>
      </c>
      <c r="I333" s="107"/>
    </row>
    <row r="334" spans="1:9" hidden="1" x14ac:dyDescent="0.25">
      <c r="A334">
        <v>6481</v>
      </c>
      <c r="B334" t="s">
        <v>154</v>
      </c>
      <c r="C334" t="s">
        <v>100</v>
      </c>
      <c r="D334" t="s">
        <v>101</v>
      </c>
      <c r="E334" t="s">
        <v>102</v>
      </c>
      <c r="F334" t="s">
        <v>6</v>
      </c>
      <c r="G334" s="107">
        <v>54290000</v>
      </c>
      <c r="H334" s="107">
        <v>4.13</v>
      </c>
      <c r="I334" s="107"/>
    </row>
    <row r="335" spans="1:9" hidden="1" x14ac:dyDescent="0.25">
      <c r="A335">
        <v>6482</v>
      </c>
      <c r="B335" t="s">
        <v>154</v>
      </c>
      <c r="C335" t="s">
        <v>100</v>
      </c>
      <c r="D335" t="s">
        <v>103</v>
      </c>
      <c r="E335" t="s">
        <v>104</v>
      </c>
      <c r="F335" t="s">
        <v>6</v>
      </c>
      <c r="G335" s="107">
        <v>17640000</v>
      </c>
      <c r="H335" s="107">
        <v>4.13</v>
      </c>
    </row>
    <row r="336" spans="1:9" x14ac:dyDescent="0.25">
      <c r="A336">
        <v>6483</v>
      </c>
      <c r="B336" t="s">
        <v>154</v>
      </c>
      <c r="C336" t="s">
        <v>100</v>
      </c>
      <c r="D336" t="s">
        <v>105</v>
      </c>
      <c r="E336" t="s">
        <v>104</v>
      </c>
      <c r="F336" t="s">
        <v>6</v>
      </c>
      <c r="G336" s="107">
        <v>23580000</v>
      </c>
      <c r="H336" s="107">
        <v>4.13</v>
      </c>
    </row>
    <row r="337" spans="1:9" x14ac:dyDescent="0.25">
      <c r="A337">
        <v>6486</v>
      </c>
      <c r="B337" t="s">
        <v>154</v>
      </c>
      <c r="C337" t="s">
        <v>100</v>
      </c>
      <c r="D337" t="s">
        <v>106</v>
      </c>
      <c r="E337" t="s">
        <v>104</v>
      </c>
      <c r="F337" t="s">
        <v>6</v>
      </c>
      <c r="G337" s="107">
        <v>26390000</v>
      </c>
      <c r="H337" s="107">
        <v>4.12</v>
      </c>
      <c r="I337" s="107"/>
    </row>
    <row r="338" spans="1:9" hidden="1" x14ac:dyDescent="0.25">
      <c r="A338">
        <v>6559</v>
      </c>
      <c r="B338" t="s">
        <v>155</v>
      </c>
      <c r="C338" t="s">
        <v>100</v>
      </c>
      <c r="D338" t="s">
        <v>101</v>
      </c>
      <c r="E338" t="s">
        <v>102</v>
      </c>
      <c r="F338" t="s">
        <v>6</v>
      </c>
      <c r="G338" s="107">
        <v>269300000</v>
      </c>
      <c r="H338" s="107">
        <v>4.13</v>
      </c>
      <c r="I338" s="107"/>
    </row>
    <row r="339" spans="1:9" hidden="1" x14ac:dyDescent="0.25">
      <c r="A339">
        <v>6560</v>
      </c>
      <c r="B339" t="s">
        <v>155</v>
      </c>
      <c r="C339" t="s">
        <v>100</v>
      </c>
      <c r="D339" t="s">
        <v>103</v>
      </c>
      <c r="E339" t="s">
        <v>104</v>
      </c>
      <c r="F339" t="s">
        <v>6</v>
      </c>
      <c r="G339" s="107">
        <v>95440000</v>
      </c>
      <c r="H339" s="107">
        <v>4.13</v>
      </c>
    </row>
    <row r="340" spans="1:9" x14ac:dyDescent="0.25">
      <c r="A340">
        <v>6561</v>
      </c>
      <c r="B340" t="s">
        <v>155</v>
      </c>
      <c r="C340" t="s">
        <v>100</v>
      </c>
      <c r="D340" t="s">
        <v>105</v>
      </c>
      <c r="E340" t="s">
        <v>104</v>
      </c>
      <c r="F340" t="s">
        <v>6</v>
      </c>
      <c r="G340" s="107">
        <v>127900000</v>
      </c>
      <c r="H340" s="107">
        <v>4.13</v>
      </c>
    </row>
    <row r="341" spans="1:9" x14ac:dyDescent="0.25">
      <c r="A341">
        <v>6564</v>
      </c>
      <c r="B341" t="s">
        <v>155</v>
      </c>
      <c r="C341" t="s">
        <v>100</v>
      </c>
      <c r="D341" t="s">
        <v>106</v>
      </c>
      <c r="E341" t="s">
        <v>104</v>
      </c>
      <c r="F341" t="s">
        <v>6</v>
      </c>
      <c r="G341" s="107">
        <v>26520000</v>
      </c>
      <c r="H341" s="107">
        <v>4.12</v>
      </c>
    </row>
    <row r="342" spans="1:9" hidden="1" x14ac:dyDescent="0.25">
      <c r="A342">
        <v>6637</v>
      </c>
      <c r="B342" t="s">
        <v>156</v>
      </c>
      <c r="C342" t="s">
        <v>100</v>
      </c>
      <c r="D342" t="s">
        <v>101</v>
      </c>
      <c r="E342" t="s">
        <v>102</v>
      </c>
      <c r="F342" t="s">
        <v>6</v>
      </c>
      <c r="G342" s="107">
        <v>300400000</v>
      </c>
      <c r="H342" s="107">
        <v>4.13</v>
      </c>
      <c r="I342" s="107"/>
    </row>
    <row r="343" spans="1:9" hidden="1" x14ac:dyDescent="0.25">
      <c r="A343">
        <v>6638</v>
      </c>
      <c r="B343" t="s">
        <v>156</v>
      </c>
      <c r="C343" t="s">
        <v>100</v>
      </c>
      <c r="D343" t="s">
        <v>103</v>
      </c>
      <c r="E343" t="s">
        <v>104</v>
      </c>
      <c r="F343" t="s">
        <v>6</v>
      </c>
      <c r="G343" s="107">
        <v>101800000</v>
      </c>
      <c r="H343" s="107">
        <v>4.13</v>
      </c>
    </row>
    <row r="344" spans="1:9" x14ac:dyDescent="0.25">
      <c r="A344">
        <v>6639</v>
      </c>
      <c r="B344" t="s">
        <v>156</v>
      </c>
      <c r="C344" t="s">
        <v>100</v>
      </c>
      <c r="D344" t="s">
        <v>105</v>
      </c>
      <c r="E344" t="s">
        <v>104</v>
      </c>
      <c r="F344" t="s">
        <v>6</v>
      </c>
      <c r="G344" s="107">
        <v>134500000</v>
      </c>
      <c r="H344" s="107">
        <v>4.13</v>
      </c>
    </row>
    <row r="345" spans="1:9" x14ac:dyDescent="0.25">
      <c r="A345">
        <v>6642</v>
      </c>
      <c r="B345" t="s">
        <v>156</v>
      </c>
      <c r="C345" t="s">
        <v>100</v>
      </c>
      <c r="D345" t="s">
        <v>106</v>
      </c>
      <c r="E345" t="s">
        <v>104</v>
      </c>
      <c r="F345" t="s">
        <v>6</v>
      </c>
      <c r="G345" s="107">
        <v>26640000</v>
      </c>
      <c r="H345" s="107">
        <v>4.12</v>
      </c>
    </row>
  </sheetData>
  <sheetProtection sheet="1" objects="1" scenarios="1" autoFilter="0"/>
  <autoFilter ref="A1:M345" xr:uid="{1D0EEB05-EAA9-43C3-8662-487155BABF2A}">
    <filterColumn colId="3">
      <filters>
        <filter val="Tulathromycine 3"/>
        <filter val="Tulathromycine-d7 15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7</vt:i4>
      </vt:variant>
    </vt:vector>
  </HeadingPairs>
  <TitlesOfParts>
    <vt:vector size="17" baseType="lpstr">
      <vt:lpstr>655584 varkensnier</vt:lpstr>
      <vt:lpstr>example</vt:lpstr>
      <vt:lpstr>MRL revised</vt:lpstr>
      <vt:lpstr>prohibited revised</vt:lpstr>
      <vt:lpstr>659592 varkensvlees</vt:lpstr>
      <vt:lpstr>hulpblad_acc</vt:lpstr>
      <vt:lpstr>658830 kalfsnier</vt:lpstr>
      <vt:lpstr>658834 kalfsvlees</vt:lpstr>
      <vt:lpstr>Ruwe data</vt:lpstr>
      <vt:lpstr>MSO controles</vt:lpstr>
      <vt:lpstr>'655584 varkensnier'!Afdrukbereik</vt:lpstr>
      <vt:lpstr>'658830 kalfsnier'!Afdrukbereik</vt:lpstr>
      <vt:lpstr>'658834 kalfsvlees'!Afdrukbereik</vt:lpstr>
      <vt:lpstr>'659592 varkensvlees'!Afdrukbereik</vt:lpstr>
      <vt:lpstr>example!Afdrukbereik</vt:lpstr>
      <vt:lpstr>'MRL revised'!Afdrukbereik</vt:lpstr>
      <vt:lpstr>'prohibited revised'!Afdrukbereik</vt:lpstr>
    </vt:vector>
  </TitlesOfParts>
  <Manager/>
  <Company>Wageningen University and Research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beren009</dc:creator>
  <cp:keywords/>
  <dc:description/>
  <cp:lastModifiedBy>Elbers, Ingrid</cp:lastModifiedBy>
  <cp:revision/>
  <dcterms:created xsi:type="dcterms:W3CDTF">2018-10-05T07:13:28Z</dcterms:created>
  <dcterms:modified xsi:type="dcterms:W3CDTF">2022-12-09T08:12:32Z</dcterms:modified>
  <cp:category/>
  <cp:contentStatus/>
</cp:coreProperties>
</file>