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W:\PROJECTS\Labs-Soil-Physics\Planning-and-Costs\2024\"/>
    </mc:Choice>
  </mc:AlternateContent>
  <xr:revisionPtr revIDLastSave="0" documentId="13_ncr:1_{50C891EA-691E-410D-B0E8-7109F1990825}" xr6:coauthVersionLast="47" xr6:coauthVersionMax="47" xr10:uidLastSave="{00000000-0000-0000-0000-000000000000}"/>
  <bookViews>
    <workbookView xWindow="-120" yWindow="-120" windowWidth="29040" windowHeight="15840" tabRatio="557" activeTab="1" xr2:uid="{00000000-000D-0000-FFFF-FFFF00000000}"/>
  </bookViews>
  <sheets>
    <sheet name="Procedure" sheetId="10" r:id="rId1"/>
    <sheet name="General Order Form" sheetId="11" r:id="rId2"/>
    <sheet name="Rate" sheetId="1" r:id="rId3"/>
  </sheets>
  <definedNames>
    <definedName name="Member">'General Order Form'!$D$3</definedName>
    <definedName name="Private">'General Order Form'!$D$4</definedName>
    <definedName name="solver_adj" localSheetId="2" hidden="1">Rate!#REF!</definedName>
    <definedName name="solver_cvg" localSheetId="2" hidden="1">0.0001</definedName>
    <definedName name="solver_drv" localSheetId="2" hidden="1">1</definedName>
    <definedName name="solver_eng" localSheetId="2" hidden="1">1</definedName>
    <definedName name="solver_est" localSheetId="2" hidden="1">1</definedName>
    <definedName name="solver_itr" localSheetId="2" hidden="1">2147483647</definedName>
    <definedName name="solver_mip" localSheetId="2" hidden="1">2147483647</definedName>
    <definedName name="solver_mni" localSheetId="2" hidden="1">30</definedName>
    <definedName name="solver_mrt" localSheetId="2" hidden="1">0.075</definedName>
    <definedName name="solver_msl" localSheetId="2" hidden="1">2</definedName>
    <definedName name="solver_neg" localSheetId="2" hidden="1">1</definedName>
    <definedName name="solver_nod" localSheetId="2" hidden="1">2147483647</definedName>
    <definedName name="solver_num" localSheetId="2" hidden="1">0</definedName>
    <definedName name="solver_nwt" localSheetId="2" hidden="1">1</definedName>
    <definedName name="solver_opt" localSheetId="2" hidden="1">Rate!#REF!</definedName>
    <definedName name="solver_pre" localSheetId="2" hidden="1">0.000001</definedName>
    <definedName name="solver_rbv" localSheetId="2" hidden="1">1</definedName>
    <definedName name="solver_rlx" localSheetId="2" hidden="1">2</definedName>
    <definedName name="solver_rsd" localSheetId="2" hidden="1">0</definedName>
    <definedName name="solver_scl" localSheetId="2" hidden="1">1</definedName>
    <definedName name="solver_sho" localSheetId="2" hidden="1">2</definedName>
    <definedName name="solver_ssz" localSheetId="2" hidden="1">100</definedName>
    <definedName name="solver_tim" localSheetId="2" hidden="1">2147483647</definedName>
    <definedName name="solver_tol" localSheetId="2" hidden="1">0.01</definedName>
    <definedName name="solver_typ" localSheetId="2" hidden="1">3</definedName>
    <definedName name="solver_val" localSheetId="2" hidden="1">0</definedName>
    <definedName name="solver_ver" localSheetId="2" hidden="1">3</definedName>
    <definedName name="Technician">'General Order Form'!$D$5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7" i="11" l="1"/>
  <c r="J26" i="11"/>
  <c r="K58" i="11"/>
  <c r="J58" i="11"/>
  <c r="K19" i="11"/>
  <c r="J19" i="11"/>
  <c r="K20" i="11"/>
  <c r="J20" i="11"/>
  <c r="K21" i="11"/>
  <c r="J21" i="11"/>
  <c r="K22" i="11"/>
  <c r="J22" i="11"/>
  <c r="K23" i="11"/>
  <c r="J23" i="11"/>
  <c r="K24" i="11"/>
  <c r="J24" i="11"/>
  <c r="K25" i="11"/>
  <c r="J25" i="11"/>
  <c r="K30" i="11"/>
  <c r="J30" i="11"/>
  <c r="K31" i="11"/>
  <c r="J31" i="11"/>
  <c r="K32" i="11"/>
  <c r="J32" i="11"/>
  <c r="K33" i="11"/>
  <c r="J33" i="11"/>
  <c r="K34" i="11"/>
  <c r="J34" i="11"/>
  <c r="K35" i="11"/>
  <c r="J35" i="11"/>
  <c r="K36" i="11"/>
  <c r="J36" i="11"/>
  <c r="K37" i="11"/>
  <c r="J37" i="11"/>
  <c r="K38" i="11"/>
  <c r="J38" i="11"/>
  <c r="K39" i="11"/>
  <c r="J39" i="11"/>
  <c r="K40" i="11"/>
  <c r="J40" i="11"/>
  <c r="K41" i="11"/>
  <c r="J41" i="11"/>
  <c r="K42" i="11"/>
  <c r="J42" i="11"/>
  <c r="K43" i="11"/>
  <c r="J43" i="11"/>
  <c r="K44" i="11"/>
  <c r="J44" i="11"/>
  <c r="K46" i="11"/>
  <c r="J46" i="11"/>
  <c r="K56" i="11"/>
  <c r="J56" i="11"/>
  <c r="K55" i="11"/>
  <c r="J55" i="11"/>
  <c r="K54" i="11"/>
  <c r="J54" i="11"/>
  <c r="K53" i="11"/>
  <c r="J53" i="11"/>
  <c r="K52" i="11"/>
  <c r="J52" i="11"/>
  <c r="K51" i="11"/>
  <c r="J51" i="11"/>
  <c r="K50" i="11"/>
  <c r="J50" i="11"/>
  <c r="K49" i="11"/>
  <c r="J49" i="11"/>
  <c r="K48" i="11"/>
  <c r="J48" i="11"/>
  <c r="F6" i="11"/>
  <c r="F56" i="11" s="1"/>
  <c r="I6" i="11"/>
  <c r="N17" i="11" s="1"/>
  <c r="I55" i="11"/>
  <c r="A55" i="11"/>
  <c r="B48" i="1"/>
  <c r="D48" i="1" s="1"/>
  <c r="F31" i="11"/>
  <c r="F32" i="11"/>
  <c r="E4" i="11"/>
  <c r="K17" i="11"/>
  <c r="J17" i="11"/>
  <c r="J14" i="11"/>
  <c r="K14" i="11"/>
  <c r="D6" i="11"/>
  <c r="I47" i="11" l="1"/>
  <c r="K47" i="11"/>
  <c r="H27" i="11"/>
  <c r="L27" i="11" s="1"/>
  <c r="K28" i="11"/>
  <c r="L47" i="11"/>
  <c r="K26" i="11"/>
  <c r="J29" i="11"/>
  <c r="K29" i="11"/>
  <c r="J47" i="11"/>
  <c r="F55" i="11"/>
  <c r="M17" i="11"/>
  <c r="F24" i="11"/>
  <c r="F33" i="11"/>
  <c r="F23" i="11"/>
  <c r="F38" i="11"/>
  <c r="F30" i="11"/>
  <c r="F22" i="11"/>
  <c r="F41" i="11"/>
  <c r="F37" i="11"/>
  <c r="F29" i="11"/>
  <c r="F21" i="11"/>
  <c r="F42" i="11"/>
  <c r="F25" i="11"/>
  <c r="F40" i="11"/>
  <c r="F36" i="11"/>
  <c r="F28" i="11"/>
  <c r="F20" i="11"/>
  <c r="F44" i="11"/>
  <c r="F35" i="11"/>
  <c r="F27" i="11"/>
  <c r="R12" i="11" s="1"/>
  <c r="F19" i="11"/>
  <c r="F43" i="11"/>
  <c r="F34" i="11"/>
  <c r="F26" i="11"/>
  <c r="F39" i="11"/>
  <c r="I89" i="1"/>
  <c r="H89" i="1"/>
  <c r="G89" i="1"/>
  <c r="F89" i="1"/>
  <c r="I88" i="1"/>
  <c r="H88" i="1"/>
  <c r="G88" i="1"/>
  <c r="F88" i="1"/>
  <c r="J66" i="1"/>
  <c r="J65" i="1"/>
  <c r="J64" i="1"/>
  <c r="J63" i="1"/>
  <c r="J62" i="1"/>
  <c r="J61" i="1"/>
  <c r="J60" i="1"/>
  <c r="J59" i="1"/>
  <c r="B5" i="1"/>
  <c r="D21" i="1" s="1"/>
  <c r="A47" i="11"/>
  <c r="B40" i="1"/>
  <c r="A29" i="11"/>
  <c r="A28" i="11"/>
  <c r="A27" i="11"/>
  <c r="B44" i="1"/>
  <c r="I28" i="11" l="1"/>
  <c r="M28" i="11" s="1"/>
  <c r="J28" i="11"/>
  <c r="J27" i="11"/>
  <c r="I27" i="11"/>
  <c r="K27" i="11"/>
  <c r="D30" i="1"/>
  <c r="D40" i="1"/>
  <c r="D15" i="1"/>
  <c r="D36" i="1"/>
  <c r="D16" i="1"/>
  <c r="D39" i="1"/>
  <c r="B51" i="1"/>
  <c r="D29" i="1"/>
  <c r="D35" i="1"/>
  <c r="D18" i="1"/>
  <c r="D27" i="1"/>
  <c r="D22" i="1"/>
  <c r="D28" i="1"/>
  <c r="D17" i="1"/>
  <c r="D37" i="1"/>
  <c r="D12" i="1"/>
  <c r="D24" i="1"/>
  <c r="D32" i="1"/>
  <c r="D23" i="1"/>
  <c r="D44" i="1"/>
  <c r="D19" i="1"/>
  <c r="D31" i="1"/>
  <c r="D51" i="1"/>
  <c r="D13" i="1"/>
  <c r="D25" i="1"/>
  <c r="D33" i="1"/>
  <c r="D20" i="1"/>
  <c r="D14" i="1"/>
  <c r="D26" i="1"/>
  <c r="D34" i="1"/>
  <c r="I29" i="11"/>
  <c r="F47" i="11"/>
  <c r="B49" i="1"/>
  <c r="D49" i="1" s="1"/>
  <c r="B46" i="1"/>
  <c r="D46" i="1" s="1"/>
  <c r="B45" i="1"/>
  <c r="D45" i="1" s="1"/>
  <c r="B41" i="1"/>
  <c r="B43" i="1"/>
  <c r="D43" i="1" s="1"/>
  <c r="B42" i="1"/>
  <c r="D42" i="1" s="1"/>
  <c r="A42" i="1"/>
  <c r="N28" i="11" l="1"/>
  <c r="D41" i="1"/>
  <c r="N27" i="11"/>
  <c r="N29" i="11"/>
  <c r="M27" i="11"/>
  <c r="M29" i="11"/>
  <c r="B47" i="1"/>
  <c r="D47" i="1" s="1"/>
  <c r="A56" i="11" l="1"/>
  <c r="I56" i="11" l="1"/>
  <c r="F46" i="11"/>
  <c r="F54" i="11"/>
  <c r="F53" i="11"/>
  <c r="I53" i="11" s="1"/>
  <c r="F52" i="11"/>
  <c r="F49" i="11"/>
  <c r="I25" i="11"/>
  <c r="F48" i="11"/>
  <c r="F51" i="11"/>
  <c r="I30" i="11"/>
  <c r="F58" i="11"/>
  <c r="F50" i="11"/>
  <c r="A54" i="11"/>
  <c r="A53" i="11"/>
  <c r="A25" i="11"/>
  <c r="N56" i="11" l="1"/>
  <c r="M56" i="11"/>
  <c r="N53" i="11"/>
  <c r="M53" i="11"/>
  <c r="N25" i="11"/>
  <c r="M25" i="11"/>
  <c r="A26" i="11"/>
  <c r="A24" i="11"/>
  <c r="A23" i="11"/>
  <c r="A22" i="11"/>
  <c r="A21" i="11"/>
  <c r="A20" i="11"/>
  <c r="A30" i="11"/>
  <c r="A31" i="11"/>
  <c r="A32" i="11"/>
  <c r="A33" i="11"/>
  <c r="A34" i="11"/>
  <c r="A35" i="11"/>
  <c r="A36" i="11"/>
  <c r="A37" i="11"/>
  <c r="A38" i="11"/>
  <c r="A39" i="11"/>
  <c r="A40" i="11"/>
  <c r="A41" i="11"/>
  <c r="A42" i="11"/>
  <c r="A43" i="11"/>
  <c r="A44" i="11"/>
  <c r="I20" i="11"/>
  <c r="N20" i="11" l="1"/>
  <c r="M20" i="11"/>
  <c r="I60" i="11"/>
  <c r="J60" i="11" l="1"/>
  <c r="K60" i="11"/>
  <c r="N60" i="11"/>
  <c r="M60" i="11"/>
  <c r="A14" i="11"/>
  <c r="I46" i="11" l="1"/>
  <c r="A46" i="11"/>
  <c r="M46" i="11" l="1"/>
  <c r="N46" i="11"/>
  <c r="I54" i="11"/>
  <c r="I52" i="11"/>
  <c r="I51" i="11"/>
  <c r="I50" i="11"/>
  <c r="I49" i="11"/>
  <c r="I31" i="11"/>
  <c r="I32" i="11"/>
  <c r="A52" i="11"/>
  <c r="A51" i="11"/>
  <c r="A50" i="11"/>
  <c r="A49" i="11"/>
  <c r="M50" i="11" l="1"/>
  <c r="N50" i="11"/>
  <c r="M51" i="11"/>
  <c r="N51" i="11"/>
  <c r="N49" i="11"/>
  <c r="M49" i="11"/>
  <c r="M52" i="11"/>
  <c r="N52" i="11"/>
  <c r="N54" i="11"/>
  <c r="M54" i="11"/>
  <c r="N32" i="11"/>
  <c r="M32" i="11"/>
  <c r="N31" i="11"/>
  <c r="M31" i="11"/>
  <c r="I42" i="11"/>
  <c r="I43" i="11"/>
  <c r="I44" i="11"/>
  <c r="A45" i="11"/>
  <c r="I33" i="11"/>
  <c r="N43" i="11" l="1"/>
  <c r="M43" i="11"/>
  <c r="N44" i="11"/>
  <c r="M44" i="11"/>
  <c r="N33" i="11"/>
  <c r="M33" i="11"/>
  <c r="N42" i="11"/>
  <c r="M42" i="11"/>
  <c r="I39" i="11"/>
  <c r="N39" i="11" l="1"/>
  <c r="M39" i="11"/>
  <c r="A57" i="11"/>
  <c r="A18" i="11"/>
  <c r="A48" i="11"/>
  <c r="I41" i="11"/>
  <c r="I40" i="11"/>
  <c r="I38" i="11"/>
  <c r="I37" i="11"/>
  <c r="I36" i="11"/>
  <c r="I26" i="11"/>
  <c r="I22" i="11"/>
  <c r="I21" i="11"/>
  <c r="N40" i="11" l="1"/>
  <c r="M41" i="11"/>
  <c r="N41" i="11"/>
  <c r="M21" i="11"/>
  <c r="N21" i="11"/>
  <c r="N22" i="11"/>
  <c r="M22" i="11"/>
  <c r="N30" i="11"/>
  <c r="M30" i="11"/>
  <c r="M37" i="11"/>
  <c r="N37" i="11"/>
  <c r="N38" i="11"/>
  <c r="M38" i="11"/>
  <c r="M40" i="11"/>
  <c r="N36" i="11"/>
  <c r="M36" i="11"/>
  <c r="N26" i="11"/>
  <c r="M26" i="11"/>
  <c r="A58" i="11"/>
  <c r="A19" i="11"/>
  <c r="I48" i="11" l="1"/>
  <c r="N48" i="11" l="1"/>
  <c r="M48" i="11"/>
  <c r="I58" i="11"/>
  <c r="N58" i="11" l="1"/>
  <c r="M58" i="11"/>
  <c r="I23" i="11"/>
  <c r="I19" i="11"/>
  <c r="I24" i="11"/>
  <c r="I34" i="11"/>
  <c r="I35" i="11"/>
  <c r="M23" i="11" l="1"/>
  <c r="N23" i="11"/>
  <c r="N19" i="11"/>
  <c r="M19" i="11"/>
  <c r="N35" i="11"/>
  <c r="M35" i="11"/>
  <c r="M34" i="11"/>
  <c r="N34" i="11"/>
  <c r="N24" i="11"/>
  <c r="M24" i="11"/>
  <c r="I61" i="11"/>
  <c r="J61" i="11" l="1"/>
  <c r="K61" i="11"/>
  <c r="N61" i="11"/>
  <c r="M61" i="11"/>
</calcChain>
</file>

<file path=xl/sharedStrings.xml><?xml version="1.0" encoding="utf-8"?>
<sst xmlns="http://schemas.openxmlformats.org/spreadsheetml/2006/main" count="163" uniqueCount="144">
  <si>
    <t>G. Bakker</t>
  </si>
  <si>
    <t>F&amp;C</t>
  </si>
  <si>
    <t>Atterberg Limits</t>
  </si>
  <si>
    <t>Saturated Hydraulic Conductivity Ksat (h=0)</t>
  </si>
  <si>
    <t>Saturated Hydraulic Conductivity Ksat (h=0) at extreme low conductivities</t>
  </si>
  <si>
    <t>Dry Bulk Density rho(d) (undisturbed samples) (T=105 dgr.C)</t>
  </si>
  <si>
    <t>Wetting rate</t>
  </si>
  <si>
    <t>Points</t>
  </si>
  <si>
    <t>Total</t>
  </si>
  <si>
    <t xml:space="preserve">Amount of </t>
  </si>
  <si>
    <t>Project Manager:</t>
  </si>
  <si>
    <t>Research Group:</t>
  </si>
  <si>
    <t>Rate:</t>
  </si>
  <si>
    <t>Billing Address:</t>
  </si>
  <si>
    <t>Project Name:</t>
  </si>
  <si>
    <t>Institute:</t>
  </si>
  <si>
    <t>Addressee:</t>
  </si>
  <si>
    <t>Address:</t>
  </si>
  <si>
    <t>Postal code:</t>
  </si>
  <si>
    <t>City:</t>
  </si>
  <si>
    <t>Country:</t>
  </si>
  <si>
    <t>Name:</t>
  </si>
  <si>
    <t>Date:</t>
  </si>
  <si>
    <t>Signature:</t>
  </si>
  <si>
    <t>Remarks:</t>
  </si>
  <si>
    <t xml:space="preserve">Burette Hanging Water Column Manual (h=0 until -200cm) </t>
  </si>
  <si>
    <t>Pressure Plate (h=-10^3 until -10^4cm)</t>
  </si>
  <si>
    <t>Sandbox (h=0 until -100cm)</t>
  </si>
  <si>
    <t>Shrinkage Characteristic (h=0 until -10^6cm)</t>
  </si>
  <si>
    <t>Project Information:</t>
  </si>
  <si>
    <t>Multistep (h=0 until -1000cm) (fixed &gt; 50 points)</t>
  </si>
  <si>
    <t>Suction Plate (h=50 until -700cm)</t>
  </si>
  <si>
    <t>Complete Curves:</t>
  </si>
  <si>
    <t>Shrinkage Characteristic curve (h=0 until -10^6cm) 15 points</t>
  </si>
  <si>
    <t>Other:</t>
  </si>
  <si>
    <t>Method, Complete Curves, or Other</t>
  </si>
  <si>
    <t>Please fill in the Order Form</t>
  </si>
  <si>
    <t>Lab controllers:</t>
  </si>
  <si>
    <t>gerben.bakker@wur.nl</t>
  </si>
  <si>
    <t>harm.gooren@wur.nl</t>
  </si>
  <si>
    <t>The lab controller will contact you about planning and reservations</t>
  </si>
  <si>
    <t>Mail the Order Form to the lab controller and indicate the preferred dates of lab use</t>
  </si>
  <si>
    <t>Please note that once a reservation is made, it is normative, even if a lab job impends to overrun its planned time or is delayed. Shifts in reservations can only be made after consulting the lab controller.</t>
  </si>
  <si>
    <t>Administration costs</t>
  </si>
  <si>
    <t>Pore Volume (excl drying at 105 gr.C)  with air pycnometer</t>
  </si>
  <si>
    <t>Sieve curve weight fractions &lt;63, &lt;105, &lt;150, &lt;210, &lt;420, &lt;2000 (chemical preparation excl.)</t>
  </si>
  <si>
    <t>Compression c.q. Uniaxial test (compression and pressure head in time at predefined forces up to 7 bar)</t>
  </si>
  <si>
    <t>Aggregate Stability per aggregate fraction</t>
  </si>
  <si>
    <t>Normal total costs (Euro) per sample per point or fraction
Total (= Labor + Lab)
T (= 0.82  * T + 0.18 * T)</t>
  </si>
  <si>
    <t>Please contact:</t>
  </si>
  <si>
    <t>Gerben Bakker 0317-486537 (gerben.bakker@wur.nl)</t>
  </si>
  <si>
    <t>Harm Gooren 0317-483707 (harm.gooren@wur.nl)</t>
  </si>
  <si>
    <t xml:space="preserve">                                                                                                                                 </t>
  </si>
  <si>
    <t>Hours --&gt;</t>
  </si>
  <si>
    <t>Air dry mass water content (h=-10^6 cm)</t>
  </si>
  <si>
    <t>(Y / N)</t>
  </si>
  <si>
    <t>Manager Project</t>
  </si>
  <si>
    <t>Manager SHP-lab</t>
  </si>
  <si>
    <t>Project Number:</t>
  </si>
  <si>
    <t>Lab Technician:</t>
  </si>
  <si>
    <t>Individual Methods:</t>
  </si>
  <si>
    <t>pF curve (h = 3, 10, 30, 60, 100, 300, 1000, 3000, 14000, 1000 000 cm = 5xSB+4xPP+1xAirDry)</t>
  </si>
  <si>
    <t>Total Fee (%) =</t>
  </si>
  <si>
    <t>, of which Lab Fee (%) =</t>
  </si>
  <si>
    <t>Loss on ignition (OS) (T=550 dgr.C); i.e. excl pre-drying and sieving over 2000um</t>
  </si>
  <si>
    <t>Pipette Method or Wet sieve per fraction (CBLB) (N.B: Preparation excl.) Only performed by lab personnel</t>
  </si>
  <si>
    <t>y</t>
  </si>
  <si>
    <t>Experiments performed by SHP-Lab Technician?</t>
  </si>
  <si>
    <t>Pipette Preparation (CBLB): Break, dry40, sieve &lt;2000u, Remove OM (H2O2), Carbonates (HCl) (Only performed by Lab personnel)</t>
  </si>
  <si>
    <t>Pipette Method fractions &lt;2, &lt;16, &lt;50, &gt;50u + wet sieve 50-63 (=5 frac) (CBLB) (N.B: Preparation excl.) Only performed by lab personnel</t>
  </si>
  <si>
    <t>Sieving Preparation (CBLB) = Pipette preparation (CBLB)</t>
  </si>
  <si>
    <t>Sieving weight fraction (Sieving preparation (CBLB) excl.)</t>
  </si>
  <si>
    <t>Unsaturated hydraulic conductivity curve + pF curve ( = 5xSB+4xPP+ AirDry+Evap+EvapFilter) (excl MvGfit, excl Ks)</t>
  </si>
  <si>
    <t>Evaporation (Wind) (h=-50 until -700cm) (fixed &gt; 20 points), excl Evapfilter, excl MvGfit</t>
  </si>
  <si>
    <t>Evaporation Filter + Mualem-Van Genuchten Fit</t>
  </si>
  <si>
    <t>(Un)saturated hydraulic conductivity curve + pF curve ( = 5xSB+4xPP+AirDry+Evap+Evapfilter+Ks+MvGfit)</t>
  </si>
  <si>
    <t>BRO complete: 5xSB+4xPP+AirDry+Evap+EvapFilter+Ks+MvGFit+CBLBprep+4xPipette+1xWetSieve+6xDrySieve+LOI</t>
  </si>
  <si>
    <t>Soil Hydro-Physics (SHP) Laboratory</t>
  </si>
  <si>
    <t>Rate (average of Standaard_II&amp;III &amp; Intern II&amp;III)=</t>
  </si>
  <si>
    <t>Other Lab experiments expressed per man hour of use. Please describe work under Remarks!</t>
  </si>
  <si>
    <t>SHP-lab members = WENR-SWL, DOW-SLM, DOW-SBL, DOW-SGL, DOW-HWM</t>
  </si>
  <si>
    <t>Is the Project Owner member of WUR-SWL,SLM,SBL,SGL,HWM?</t>
  </si>
  <si>
    <t>Price per sample per point
(Euro ex VAT)</t>
  </si>
  <si>
    <t>stdII</t>
  </si>
  <si>
    <t>std III</t>
  </si>
  <si>
    <t>intern II</t>
  </si>
  <si>
    <t>intern III</t>
  </si>
  <si>
    <t>Uren</t>
  </si>
  <si>
    <t>(M2+IKP2+M3+IKP3)/4</t>
  </si>
  <si>
    <t>Project types:</t>
  </si>
  <si>
    <t>Non-subsidy project</t>
  </si>
  <si>
    <t>0=no; 1=yes</t>
  </si>
  <si>
    <t>a non-lab member wants to perform contract research experiments himself</t>
  </si>
  <si>
    <t>a non-lab member wants a SHP-technician to perform non-contract research experiment for him</t>
  </si>
  <si>
    <t>a non-lab member wants to perform non-contract research experiments himself</t>
  </si>
  <si>
    <t>a non-lab member wants a SHP-technician to perform contract research experiments for him</t>
  </si>
  <si>
    <t>a lab member wants to do non-contract research experiments himself</t>
  </si>
  <si>
    <t>a lab member wants to let a SHP-technician do non-contract research experiments for them</t>
  </si>
  <si>
    <t>a lab member wants to let a SHP-technician do contract research experiments for him</t>
  </si>
  <si>
    <t>Member</t>
  </si>
  <si>
    <t>Technician</t>
  </si>
  <si>
    <t>contract</t>
  </si>
  <si>
    <t xml:space="preserve">Thus </t>
  </si>
  <si>
    <t>ELSE Lab Fee = 18%</t>
  </si>
  <si>
    <t>Contract</t>
  </si>
  <si>
    <t>Hour fee%</t>
  </si>
  <si>
    <t>Lab fee%</t>
  </si>
  <si>
    <t>Lab Fee = 25 % if Non-technician AND Non-member</t>
  </si>
  <si>
    <t>Lab Fee = 0 % if Member AND Non-Contract</t>
  </si>
  <si>
    <t>Total Costs
(Euro)</t>
  </si>
  <si>
    <t>Samples or batches</t>
  </si>
  <si>
    <t>Total Fee = 0 % if Member AND Non-Contract AND Non-Technician</t>
  </si>
  <si>
    <t>ELSE Total Fee = 100 %</t>
  </si>
  <si>
    <t>Total Fee % Karnaugh-diagram</t>
  </si>
  <si>
    <t>Lab Fee % Karnaugh-diagram</t>
  </si>
  <si>
    <t>Hour Fee % Karnaugh-diagram</t>
  </si>
  <si>
    <t>Total fee%</t>
  </si>
  <si>
    <t>Description</t>
  </si>
  <si>
    <t>Is experiment either part of a Private Funded or Subsidy Project?</t>
  </si>
  <si>
    <t>Euro_H
%</t>
  </si>
  <si>
    <t>Euro_L
%</t>
  </si>
  <si>
    <t>Subsidy project (RVO, LNV, Horizon, TKI, EU, other)</t>
  </si>
  <si>
    <t xml:space="preserve">Indicate Subsidy project: </t>
  </si>
  <si>
    <t>(The right rates are selected by using cells D3:D5 and selecting Subsidy or not in I3)</t>
  </si>
  <si>
    <t>Water Content or Wetness (Actual Volumetric or Gravimetric Water Content) (T=105 dgr.C) + Dry bulk density</t>
  </si>
  <si>
    <r>
      <t xml:space="preserve">Water Repellency: Actual soil condition - Water Drop Penetration Test; </t>
    </r>
    <r>
      <rPr>
        <b/>
        <sz val="9"/>
        <rFont val="Arial"/>
        <family val="2"/>
      </rPr>
      <t>ALSO SELECT DRY BULK DENSITY!!</t>
    </r>
  </si>
  <si>
    <r>
      <t xml:space="preserve">Water repellency: Critical Moisture Content using WDTP at 10 points; </t>
    </r>
    <r>
      <rPr>
        <b/>
        <sz val="9"/>
        <rFont val="Arial"/>
        <family val="2"/>
      </rPr>
      <t>ALSO SELECT RETENTION CURVE (dry bulk density is included there)!!</t>
    </r>
  </si>
  <si>
    <t>a lab member wants to do contract research experiments himself (NB: contract research is only possible for WENR or for university using WENR rates)</t>
  </si>
  <si>
    <t>PROCEDURE Soil Hydro-Physics Lab work 2024_v5</t>
  </si>
  <si>
    <t xml:space="preserve">Hour Fee = 82 % if Technician </t>
  </si>
  <si>
    <t>ELSE Hour Fee = 0 %</t>
  </si>
  <si>
    <t>Total Fee = 18 % if Member AND Contract AND Non-Technician</t>
  </si>
  <si>
    <t>Total Fee = 25 % if Non-Member AND Non-Technician</t>
  </si>
  <si>
    <t>Total Fee = 82 % if Member AND Non-Contract AND Technician</t>
  </si>
  <si>
    <t>n</t>
  </si>
  <si>
    <t>MIR Mill (1 batch = 1 plate = 30 samples (in triplate --&gt; 90 subsamples) + 1 base + 2 ref samples (in duplo &amp; triplo --&gt; 6 subsamples)</t>
  </si>
  <si>
    <t>MIR Operation (1 batch = 1 plate = 30 samples (in triplate --&gt; 90 subsamples) + 1 base + 2 ref samples (in duplo &amp; triplo --&gt; 6 subsamples)</t>
  </si>
  <si>
    <t>MIR Complete: Dry+Grind+Sieve+Mill+Operation (1 batch = 1 plate = 30 samples (in triplate --&gt; 90 subsamples) + 1 base + 2 ref samples (in duplo &amp; triplo --&gt; 6 subsamples); NB: Bulk lab fee red.</t>
  </si>
  <si>
    <t>MIR Dry_Grind_Sieve (1 batch = 1 plate = 30 samples (in triplate --&gt; 90 subsamples) + 1 base + 2 ref samples (in duplo &amp; triplo --&gt; 6 subsamples). NB: Bulk Lab Fee red.</t>
  </si>
  <si>
    <t xml:space="preserve">the following matrix is used to see what one should pay. The 2 leading rate rules are 1/ a lab member (someone within the 5 groups contributing) does not pay a lab contribution when that person is doing non-private funded or subsidy research (mostly university). As WENR works mainly with private funded or subsidy projects, it pays most of the lab contribution. 2/ To prevent internal competition with different hour rates (clients tend to let the university do lab work) it is also agreed that private funded research should only be done by WENR. It can also be done by university members when the same (WENR) rate is used that is passed on to the customer. </t>
  </si>
  <si>
    <t>Last update by Gerben Bakker on Oct 11, 2024</t>
  </si>
  <si>
    <t>Price List - version 2024-v7</t>
  </si>
  <si>
    <t>Order Form SHP-LAB 2024-v7,  (proj.nr. 5200047820)</t>
  </si>
  <si>
    <t>Please start with answers in cells D3:D5 and dropdown in cell I3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</si>
</sst>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22">
    <font>
      <sz val="10"/>
      <name val="Arial"/>
    </font>
    <font>
      <sz val="10"/>
      <name val="Arial"/>
      <family val="2"/>
    </font>
    <font>
      <sz val="8"/>
      <name val="Arial"/>
      <family val="2"/>
    </font>
    <font>
      <b/>
      <sz val="10"/>
      <name val="Arial"/>
      <family val="2"/>
    </font>
    <font>
      <b/>
      <sz val="14"/>
      <name val="Times New Roman"/>
      <family val="1"/>
    </font>
    <font>
      <b/>
      <sz val="9"/>
      <name val="Times New Roman"/>
      <family val="1"/>
    </font>
    <font>
      <sz val="9"/>
      <name val="Arial"/>
      <family val="2"/>
    </font>
    <font>
      <b/>
      <sz val="9"/>
      <name val="Arial"/>
      <family val="2"/>
    </font>
    <font>
      <sz val="9.5"/>
      <name val="News Gothic"/>
      <family val="2"/>
    </font>
    <font>
      <sz val="9"/>
      <name val="Arial"/>
      <family val="2"/>
    </font>
    <font>
      <sz val="10"/>
      <color theme="0"/>
      <name val="Arial"/>
      <family val="2"/>
    </font>
    <font>
      <u/>
      <sz val="10"/>
      <color theme="10"/>
      <name val="Arial"/>
      <family val="2"/>
    </font>
    <font>
      <sz val="10"/>
      <color rgb="FFFF0000"/>
      <name val="Arial"/>
      <family val="2"/>
    </font>
    <font>
      <sz val="28"/>
      <color rgb="FF00B050"/>
      <name val="Arial"/>
      <family val="2"/>
    </font>
    <font>
      <b/>
      <sz val="14"/>
      <name val="Arial"/>
      <family val="2"/>
    </font>
    <font>
      <sz val="10"/>
      <color theme="0" tint="-0.34998626667073579"/>
      <name val="Arial"/>
      <family val="2"/>
    </font>
    <font>
      <sz val="12"/>
      <color rgb="FFFF0000"/>
      <name val="Arial"/>
      <family val="2"/>
    </font>
    <font>
      <b/>
      <sz val="12"/>
      <name val="Times New Roman"/>
      <family val="1"/>
    </font>
    <font>
      <sz val="11"/>
      <name val="Calibri"/>
      <family val="2"/>
      <scheme val="minor"/>
    </font>
    <font>
      <b/>
      <sz val="10"/>
      <color rgb="FFFF0000"/>
      <name val="Arial"/>
      <family val="2"/>
    </font>
    <font>
      <sz val="10"/>
      <color rgb="FF44546A"/>
      <name val="Verdana"/>
      <family val="2"/>
    </font>
    <font>
      <sz val="16"/>
      <color rgb="FFFF0000"/>
      <name val="Arial"/>
      <family val="2"/>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6" tint="0.59999389629810485"/>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style="thin">
        <color indexed="64"/>
      </bottom>
      <diagonal style="thin">
        <color indexed="64"/>
      </diagonal>
    </border>
  </borders>
  <cellStyleXfs count="2">
    <xf numFmtId="0" fontId="0" fillId="0" borderId="0"/>
    <xf numFmtId="0" fontId="11" fillId="0" borderId="0" applyNumberFormat="0" applyFill="0" applyBorder="0" applyAlignment="0" applyProtection="0"/>
  </cellStyleXfs>
  <cellXfs count="217">
    <xf numFmtId="0" fontId="0" fillId="0" borderId="0" xfId="0"/>
    <xf numFmtId="0" fontId="0" fillId="0" borderId="0" xfId="0" applyAlignment="1">
      <alignment horizontal="center"/>
    </xf>
    <xf numFmtId="0" fontId="0" fillId="0" borderId="0" xfId="0" applyAlignment="1">
      <alignment horizontal="left"/>
    </xf>
    <xf numFmtId="0" fontId="9" fillId="0" borderId="0" xfId="0" applyFont="1"/>
    <xf numFmtId="0" fontId="0" fillId="0" borderId="0" xfId="0" applyAlignment="1">
      <alignment horizontal="center" vertical="center"/>
    </xf>
    <xf numFmtId="2" fontId="9" fillId="0" borderId="0" xfId="0" applyNumberFormat="1" applyFont="1"/>
    <xf numFmtId="2" fontId="9" fillId="0" borderId="0" xfId="0" applyNumberFormat="1" applyFont="1" applyAlignment="1">
      <alignment horizontal="center"/>
    </xf>
    <xf numFmtId="0" fontId="6" fillId="0" borderId="0" xfId="0" applyFont="1"/>
    <xf numFmtId="0" fontId="6" fillId="0" borderId="0" xfId="0" applyFont="1" applyAlignment="1">
      <alignment horizontal="center"/>
    </xf>
    <xf numFmtId="0" fontId="9" fillId="0" borderId="0" xfId="0" applyFont="1" applyAlignment="1">
      <alignment vertical="center"/>
    </xf>
    <xf numFmtId="0" fontId="0" fillId="4" borderId="1" xfId="0" applyFill="1" applyBorder="1" applyAlignment="1" applyProtection="1">
      <alignment horizontal="center" vertical="center"/>
      <protection locked="0"/>
    </xf>
    <xf numFmtId="0" fontId="1" fillId="0" borderId="0" xfId="0" applyFont="1" applyFill="1"/>
    <xf numFmtId="0" fontId="0" fillId="0" borderId="0" xfId="0" applyAlignment="1">
      <alignment vertical="center"/>
    </xf>
    <xf numFmtId="0" fontId="0" fillId="3" borderId="1" xfId="0" applyFill="1" applyBorder="1" applyAlignment="1">
      <alignment horizontal="center" vertical="center"/>
    </xf>
    <xf numFmtId="0" fontId="1" fillId="4" borderId="1" xfId="0" applyFont="1" applyFill="1" applyBorder="1" applyAlignment="1" applyProtection="1">
      <alignment horizontal="left" vertical="center"/>
      <protection locked="0"/>
    </xf>
    <xf numFmtId="0" fontId="6" fillId="0" borderId="0" xfId="0" applyFont="1" applyAlignment="1">
      <alignment horizontal="left"/>
    </xf>
    <xf numFmtId="0" fontId="6" fillId="0" borderId="0" xfId="0" applyFont="1" applyBorder="1" applyAlignment="1">
      <alignment horizontal="center" vertical="center"/>
    </xf>
    <xf numFmtId="0" fontId="6" fillId="0" borderId="0" xfId="0" applyFont="1" applyBorder="1" applyAlignment="1">
      <alignment horizontal="left"/>
    </xf>
    <xf numFmtId="0" fontId="6" fillId="0" borderId="0" xfId="0" applyFont="1" applyBorder="1"/>
    <xf numFmtId="9" fontId="6" fillId="0" borderId="0" xfId="0" applyNumberFormat="1" applyFont="1" applyBorder="1" applyAlignment="1">
      <alignment horizontal="center"/>
    </xf>
    <xf numFmtId="0" fontId="6" fillId="0" borderId="0" xfId="0" applyFont="1" applyBorder="1" applyAlignment="1">
      <alignment horizontal="center" vertical="center" wrapText="1"/>
    </xf>
    <xf numFmtId="0" fontId="7" fillId="0" borderId="8" xfId="0" applyFont="1" applyFill="1" applyBorder="1" applyAlignment="1">
      <alignment vertical="center"/>
    </xf>
    <xf numFmtId="0" fontId="7" fillId="0" borderId="20" xfId="0" applyFont="1" applyFill="1" applyBorder="1" applyAlignment="1">
      <alignment vertical="center"/>
    </xf>
    <xf numFmtId="0" fontId="6" fillId="0" borderId="19" xfId="0" applyFont="1" applyFill="1" applyBorder="1" applyAlignment="1">
      <alignment vertical="center"/>
    </xf>
    <xf numFmtId="0" fontId="9" fillId="0" borderId="19" xfId="0" applyFont="1" applyFill="1" applyBorder="1" applyAlignment="1">
      <alignment vertical="center"/>
    </xf>
    <xf numFmtId="0" fontId="6" fillId="0" borderId="19" xfId="0" applyFont="1" applyFill="1" applyBorder="1" applyAlignment="1">
      <alignment vertical="center" wrapText="1"/>
    </xf>
    <xf numFmtId="0" fontId="7" fillId="0" borderId="19" xfId="0" applyFont="1" applyFill="1" applyBorder="1" applyAlignment="1">
      <alignment vertical="center"/>
    </xf>
    <xf numFmtId="0" fontId="7" fillId="0" borderId="18" xfId="0" applyFont="1" applyFill="1" applyBorder="1" applyAlignment="1">
      <alignment vertical="center"/>
    </xf>
    <xf numFmtId="2" fontId="7" fillId="0" borderId="18" xfId="0" applyNumberFormat="1" applyFont="1" applyFill="1" applyBorder="1" applyAlignment="1">
      <alignment horizontal="center" vertical="center"/>
    </xf>
    <xf numFmtId="0" fontId="7" fillId="0" borderId="31" xfId="0" applyFont="1" applyFill="1" applyBorder="1" applyAlignment="1">
      <alignment vertical="center"/>
    </xf>
    <xf numFmtId="0" fontId="7" fillId="0" borderId="32" xfId="0" applyFont="1" applyFill="1" applyBorder="1" applyAlignment="1">
      <alignment horizontal="center" vertical="center" wrapText="1"/>
    </xf>
    <xf numFmtId="0" fontId="7" fillId="0" borderId="0" xfId="0" applyFont="1"/>
    <xf numFmtId="0" fontId="14" fillId="0" borderId="0" xfId="0" applyFont="1" applyAlignment="1">
      <alignment horizontal="right" vertical="center"/>
    </xf>
    <xf numFmtId="0" fontId="1" fillId="0" borderId="0" xfId="0" applyFont="1"/>
    <xf numFmtId="0" fontId="7" fillId="0" borderId="21" xfId="0" applyFont="1" applyFill="1" applyBorder="1" applyAlignment="1">
      <alignment horizontal="left" vertical="center" wrapText="1"/>
    </xf>
    <xf numFmtId="0" fontId="6" fillId="0" borderId="0" xfId="0" applyFont="1" applyBorder="1" applyAlignment="1">
      <alignment horizontal="left" vertical="center"/>
    </xf>
    <xf numFmtId="0" fontId="5" fillId="0" borderId="23" xfId="0" applyFont="1" applyBorder="1" applyAlignment="1" applyProtection="1">
      <alignment vertical="center"/>
    </xf>
    <xf numFmtId="0" fontId="5" fillId="0" borderId="7" xfId="0" applyFont="1" applyBorder="1" applyAlignment="1" applyProtection="1">
      <alignment vertical="center"/>
    </xf>
    <xf numFmtId="0" fontId="5" fillId="0" borderId="19" xfId="0" applyFont="1" applyBorder="1" applyAlignment="1" applyProtection="1">
      <alignment vertical="center"/>
    </xf>
    <xf numFmtId="0" fontId="1" fillId="0" borderId="27" xfId="0" applyFont="1" applyFill="1" applyBorder="1" applyAlignment="1" applyProtection="1">
      <alignment vertical="center"/>
    </xf>
    <xf numFmtId="0" fontId="5" fillId="0" borderId="21" xfId="0" applyFont="1" applyBorder="1" applyAlignment="1" applyProtection="1">
      <alignment vertical="center"/>
    </xf>
    <xf numFmtId="0" fontId="5" fillId="0" borderId="2" xfId="0" applyFont="1" applyFill="1" applyBorder="1" applyAlignment="1" applyProtection="1">
      <alignment horizontal="center" vertical="center"/>
    </xf>
    <xf numFmtId="0" fontId="0" fillId="0" borderId="0" xfId="0" applyProtection="1"/>
    <xf numFmtId="0" fontId="3" fillId="3" borderId="1" xfId="0" applyFont="1" applyFill="1" applyBorder="1" applyAlignment="1" applyProtection="1">
      <alignment horizontal="center" vertical="center"/>
    </xf>
    <xf numFmtId="0" fontId="3" fillId="0" borderId="7" xfId="0" applyFont="1" applyFill="1" applyBorder="1" applyAlignment="1" applyProtection="1">
      <alignment vertical="center"/>
    </xf>
    <xf numFmtId="0" fontId="3" fillId="0" borderId="7" xfId="0" applyFont="1" applyFill="1" applyBorder="1" applyAlignment="1" applyProtection="1">
      <alignment horizontal="right" vertical="center"/>
    </xf>
    <xf numFmtId="164" fontId="0" fillId="3" borderId="18" xfId="0" applyNumberFormat="1" applyFill="1" applyBorder="1" applyAlignment="1" applyProtection="1">
      <alignment vertical="center"/>
    </xf>
    <xf numFmtId="2" fontId="3" fillId="3" borderId="1" xfId="0" applyNumberFormat="1" applyFont="1" applyFill="1" applyBorder="1" applyAlignment="1" applyProtection="1">
      <alignment horizontal="center" vertical="center"/>
    </xf>
    <xf numFmtId="164" fontId="1" fillId="3" borderId="18" xfId="0" applyNumberFormat="1" applyFont="1" applyFill="1" applyBorder="1" applyAlignment="1" applyProtection="1">
      <alignment vertical="center"/>
    </xf>
    <xf numFmtId="0" fontId="1" fillId="0" borderId="1" xfId="0" applyFont="1" applyBorder="1" applyAlignment="1" applyProtection="1">
      <alignment horizontal="center" vertical="center"/>
    </xf>
    <xf numFmtId="164" fontId="3" fillId="0" borderId="18" xfId="0" applyNumberFormat="1" applyFont="1" applyBorder="1" applyAlignment="1" applyProtection="1">
      <alignment vertical="center"/>
    </xf>
    <xf numFmtId="0" fontId="3" fillId="0" borderId="28" xfId="0" applyFont="1" applyBorder="1" applyAlignment="1" applyProtection="1">
      <alignment vertical="center"/>
    </xf>
    <xf numFmtId="0" fontId="3" fillId="0" borderId="19" xfId="0" applyFont="1" applyBorder="1" applyAlignment="1" applyProtection="1">
      <alignment horizontal="left" vertical="center"/>
    </xf>
    <xf numFmtId="0" fontId="3" fillId="0" borderId="21" xfId="0" applyFont="1" applyBorder="1" applyAlignment="1" applyProtection="1">
      <alignment horizontal="left" vertical="center"/>
    </xf>
    <xf numFmtId="14" fontId="0" fillId="4" borderId="1" xfId="0" applyNumberFormat="1" applyFill="1" applyBorder="1" applyAlignment="1" applyProtection="1">
      <alignment horizontal="left" vertical="center"/>
      <protection locked="0"/>
    </xf>
    <xf numFmtId="2" fontId="7" fillId="5" borderId="18" xfId="0" applyNumberFormat="1" applyFont="1" applyFill="1" applyBorder="1" applyAlignment="1">
      <alignment horizontal="center" vertical="center"/>
    </xf>
    <xf numFmtId="0" fontId="6" fillId="0" borderId="0" xfId="0" applyFont="1" applyBorder="1" applyAlignment="1">
      <alignment horizontal="center"/>
    </xf>
    <xf numFmtId="0" fontId="7" fillId="0" borderId="0" xfId="0" applyFont="1" applyAlignment="1">
      <alignment horizontal="center"/>
    </xf>
    <xf numFmtId="0" fontId="1" fillId="4" borderId="22" xfId="0" applyFont="1" applyFill="1" applyBorder="1" applyAlignment="1" applyProtection="1">
      <alignment horizontal="center" vertical="center"/>
      <protection locked="0"/>
    </xf>
    <xf numFmtId="0" fontId="0" fillId="0" borderId="40" xfId="0" applyBorder="1" applyProtection="1"/>
    <xf numFmtId="0" fontId="1" fillId="0" borderId="40" xfId="0" applyFont="1" applyFill="1" applyBorder="1" applyAlignment="1" applyProtection="1">
      <alignment horizontal="right" vertical="center"/>
    </xf>
    <xf numFmtId="0" fontId="1" fillId="0" borderId="41" xfId="0" applyFont="1" applyFill="1" applyBorder="1" applyAlignment="1" applyProtection="1">
      <alignment horizontal="left" vertical="center"/>
    </xf>
    <xf numFmtId="0" fontId="7" fillId="0" borderId="0" xfId="0" applyFont="1" applyBorder="1" applyAlignment="1">
      <alignment horizontal="left" vertical="center"/>
    </xf>
    <xf numFmtId="0" fontId="1" fillId="4" borderId="11" xfId="0" applyFont="1" applyFill="1" applyBorder="1" applyAlignment="1" applyProtection="1">
      <alignment horizontal="left" vertical="center"/>
      <protection locked="0"/>
    </xf>
    <xf numFmtId="0" fontId="9" fillId="0" borderId="0" xfId="0" applyFont="1" applyAlignment="1">
      <alignment horizontal="center"/>
    </xf>
    <xf numFmtId="0" fontId="1" fillId="0" borderId="0" xfId="0" applyFont="1" applyAlignment="1">
      <alignment horizontal="center" vertical="center"/>
    </xf>
    <xf numFmtId="0" fontId="1" fillId="0" borderId="40" xfId="0" applyFont="1" applyFill="1" applyBorder="1" applyAlignment="1" applyProtection="1">
      <alignment horizontal="center" vertical="center"/>
    </xf>
    <xf numFmtId="0" fontId="3" fillId="0" borderId="1"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3" borderId="1" xfId="0" applyFont="1" applyFill="1" applyBorder="1" applyAlignment="1" applyProtection="1">
      <alignment horizontal="center" vertical="center" wrapText="1"/>
    </xf>
    <xf numFmtId="0" fontId="15" fillId="0" borderId="0" xfId="0" applyFont="1" applyAlignment="1">
      <alignment horizontal="center" vertical="center"/>
    </xf>
    <xf numFmtId="0" fontId="15" fillId="0" borderId="0" xfId="0" applyFont="1"/>
    <xf numFmtId="0" fontId="15" fillId="0" borderId="0" xfId="0" applyFont="1" applyFill="1"/>
    <xf numFmtId="0" fontId="3" fillId="0" borderId="0" xfId="0" applyFont="1" applyAlignment="1">
      <alignment horizontal="center" vertical="center"/>
    </xf>
    <xf numFmtId="0" fontId="3" fillId="0" borderId="0" xfId="0" applyFont="1"/>
    <xf numFmtId="0" fontId="4" fillId="0" borderId="26" xfId="0" applyFont="1" applyFill="1" applyBorder="1" applyAlignment="1" applyProtection="1">
      <alignment vertical="center"/>
    </xf>
    <xf numFmtId="0" fontId="4" fillId="0" borderId="25" xfId="0" applyFont="1" applyFill="1" applyBorder="1" applyAlignment="1" applyProtection="1">
      <alignment vertical="center"/>
    </xf>
    <xf numFmtId="0" fontId="17" fillId="0" borderId="26" xfId="0" applyFont="1" applyFill="1" applyBorder="1" applyAlignment="1" applyProtection="1">
      <alignment vertical="center"/>
    </xf>
    <xf numFmtId="0" fontId="1" fillId="0" borderId="0" xfId="0" applyFont="1" applyAlignment="1">
      <alignment vertical="center"/>
    </xf>
    <xf numFmtId="0" fontId="1" fillId="0" borderId="0" xfId="0" applyFont="1" applyAlignment="1">
      <alignment horizontal="center" vertical="center" wrapText="1"/>
    </xf>
    <xf numFmtId="0" fontId="0" fillId="0" borderId="44" xfId="0" applyBorder="1"/>
    <xf numFmtId="0" fontId="0" fillId="0" borderId="45" xfId="0" applyBorder="1"/>
    <xf numFmtId="0" fontId="0" fillId="0" borderId="6" xfId="0" applyBorder="1" applyAlignment="1">
      <alignment horizontal="center"/>
    </xf>
    <xf numFmtId="0" fontId="0" fillId="0" borderId="46" xfId="0" applyBorder="1"/>
    <xf numFmtId="0" fontId="0" fillId="0" borderId="34" xfId="0" applyBorder="1"/>
    <xf numFmtId="0" fontId="1" fillId="0" borderId="0" xfId="0" applyFont="1"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9" xfId="0" applyBorder="1" applyAlignment="1">
      <alignment horizontal="right"/>
    </xf>
    <xf numFmtId="0" fontId="0" fillId="0" borderId="43" xfId="0" applyBorder="1"/>
    <xf numFmtId="0" fontId="1" fillId="0" borderId="40" xfId="0" applyFont="1" applyBorder="1" applyAlignment="1">
      <alignment horizontal="center" vertical="center"/>
    </xf>
    <xf numFmtId="0" fontId="0" fillId="0" borderId="40" xfId="0" applyBorder="1" applyAlignment="1">
      <alignment vertical="center"/>
    </xf>
    <xf numFmtId="0" fontId="1" fillId="0" borderId="29"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left" vertical="center"/>
    </xf>
    <xf numFmtId="0" fontId="15" fillId="0" borderId="0" xfId="0" applyFont="1" applyAlignment="1">
      <alignment horizontal="center" vertical="center" wrapText="1"/>
    </xf>
    <xf numFmtId="0" fontId="18" fillId="0" borderId="0" xfId="0" applyFont="1" applyAlignment="1">
      <alignment horizontal="center" vertical="center"/>
    </xf>
    <xf numFmtId="0" fontId="0" fillId="0" borderId="0" xfId="0" applyFill="1" applyAlignment="1">
      <alignment horizontal="center" vertical="center"/>
    </xf>
    <xf numFmtId="0" fontId="1" fillId="0" borderId="47" xfId="0" applyFont="1" applyBorder="1" applyAlignment="1">
      <alignment horizontal="center" vertical="center"/>
    </xf>
    <xf numFmtId="0" fontId="19" fillId="0" borderId="11" xfId="0" applyFont="1" applyFill="1" applyBorder="1" applyAlignment="1" applyProtection="1">
      <alignment vertical="center"/>
    </xf>
    <xf numFmtId="0" fontId="6" fillId="3" borderId="0" xfId="0" applyFont="1" applyFill="1" applyBorder="1" applyAlignment="1">
      <alignment horizontal="center" vertical="center"/>
    </xf>
    <xf numFmtId="0" fontId="6" fillId="6" borderId="0" xfId="0" applyFont="1" applyFill="1" applyAlignment="1">
      <alignment horizontal="center"/>
    </xf>
    <xf numFmtId="0" fontId="9" fillId="6" borderId="0" xfId="0" applyFont="1" applyFill="1" applyAlignment="1">
      <alignment horizontal="center"/>
    </xf>
    <xf numFmtId="2" fontId="7" fillId="5" borderId="13" xfId="0" applyNumberFormat="1" applyFont="1" applyFill="1" applyBorder="1" applyAlignment="1">
      <alignment horizontal="center" vertical="center"/>
    </xf>
    <xf numFmtId="0" fontId="7" fillId="0" borderId="0" xfId="0" applyFont="1" applyAlignment="1">
      <alignment vertical="center"/>
    </xf>
    <xf numFmtId="0" fontId="3" fillId="4" borderId="1" xfId="0" applyFont="1" applyFill="1" applyBorder="1" applyAlignment="1" applyProtection="1">
      <alignment vertical="center" wrapText="1"/>
    </xf>
    <xf numFmtId="0" fontId="1" fillId="0" borderId="0" xfId="0" applyFont="1" applyBorder="1" applyAlignment="1">
      <alignment horizontal="center" vertical="center" wrapText="1"/>
    </xf>
    <xf numFmtId="0" fontId="15" fillId="0" borderId="0" xfId="0" applyNumberFormat="1" applyFont="1" applyAlignment="1">
      <alignment horizontal="center"/>
    </xf>
    <xf numFmtId="0" fontId="12" fillId="0" borderId="0" xfId="0" applyFont="1" applyAlignment="1">
      <alignment horizontal="left" vertical="center"/>
    </xf>
    <xf numFmtId="164" fontId="0" fillId="3" borderId="9" xfId="0" applyNumberFormat="1" applyFill="1" applyBorder="1" applyAlignment="1" applyProtection="1">
      <alignment vertical="center"/>
    </xf>
    <xf numFmtId="0" fontId="10" fillId="3" borderId="30" xfId="0" applyFont="1" applyFill="1" applyBorder="1" applyAlignment="1" applyProtection="1">
      <alignment horizontal="center" vertical="center"/>
    </xf>
    <xf numFmtId="0" fontId="10" fillId="3" borderId="50" xfId="0" applyFont="1" applyFill="1" applyBorder="1" applyAlignment="1" applyProtection="1">
      <alignment horizontal="center" vertical="center"/>
    </xf>
    <xf numFmtId="0" fontId="10" fillId="3" borderId="51" xfId="0" applyFont="1" applyFill="1" applyBorder="1" applyAlignment="1" applyProtection="1">
      <alignment horizontal="center" vertical="center"/>
    </xf>
    <xf numFmtId="0" fontId="12" fillId="3" borderId="1" xfId="0" applyFont="1" applyFill="1" applyBorder="1" applyAlignment="1" applyProtection="1">
      <alignment horizontal="center" vertical="center"/>
    </xf>
    <xf numFmtId="0" fontId="1" fillId="7" borderId="0" xfId="0" applyFont="1" applyFill="1" applyAlignment="1">
      <alignment horizontal="left"/>
    </xf>
    <xf numFmtId="0" fontId="1" fillId="3" borderId="22" xfId="0" applyFont="1" applyFill="1" applyBorder="1" applyAlignment="1">
      <alignment horizontal="left" vertical="center"/>
    </xf>
    <xf numFmtId="0" fontId="1" fillId="3" borderId="7" xfId="0" applyFont="1" applyFill="1" applyBorder="1" applyAlignment="1">
      <alignment horizontal="left" vertical="center"/>
    </xf>
    <xf numFmtId="0" fontId="1" fillId="3" borderId="2" xfId="0" applyFont="1" applyFill="1" applyBorder="1" applyAlignment="1">
      <alignment horizontal="left" vertical="center"/>
    </xf>
    <xf numFmtId="0" fontId="4" fillId="0" borderId="0" xfId="0" applyFont="1" applyAlignment="1">
      <alignment horizontal="left" vertical="center"/>
    </xf>
    <xf numFmtId="0" fontId="4" fillId="0" borderId="25" xfId="0" applyFont="1" applyBorder="1" applyAlignment="1">
      <alignment horizontal="left" vertical="center"/>
    </xf>
    <xf numFmtId="0" fontId="1" fillId="3" borderId="1" xfId="0" applyFont="1" applyFill="1" applyBorder="1" applyAlignment="1">
      <alignment horizontal="left" vertical="center"/>
    </xf>
    <xf numFmtId="0" fontId="12" fillId="3" borderId="1" xfId="0" applyFont="1" applyFill="1" applyBorder="1" applyAlignment="1">
      <alignment horizontal="left" vertical="center" wrapText="1"/>
    </xf>
    <xf numFmtId="0" fontId="0" fillId="0" borderId="36" xfId="0" applyFill="1" applyBorder="1" applyAlignment="1">
      <alignment horizontal="center" vertical="center"/>
    </xf>
    <xf numFmtId="0" fontId="0" fillId="0" borderId="0" xfId="0" applyFill="1" applyBorder="1" applyAlignment="1">
      <alignment horizontal="center" vertical="center"/>
    </xf>
    <xf numFmtId="0" fontId="11" fillId="3" borderId="14" xfId="1" applyFill="1" applyBorder="1" applyAlignment="1">
      <alignment horizontal="left" vertical="center"/>
    </xf>
    <xf numFmtId="0" fontId="11" fillId="3" borderId="39" xfId="1" applyFill="1" applyBorder="1" applyAlignment="1">
      <alignment horizontal="left" vertical="center"/>
    </xf>
    <xf numFmtId="0" fontId="11" fillId="3" borderId="15" xfId="1" applyFill="1" applyBorder="1" applyAlignment="1">
      <alignment horizontal="left" vertical="center"/>
    </xf>
    <xf numFmtId="0" fontId="11" fillId="3" borderId="16" xfId="1" applyFill="1" applyBorder="1" applyAlignment="1">
      <alignment horizontal="left" vertical="center"/>
    </xf>
    <xf numFmtId="0" fontId="11" fillId="3" borderId="25" xfId="1" applyFill="1" applyBorder="1" applyAlignment="1">
      <alignment horizontal="left" vertical="center"/>
    </xf>
    <xf numFmtId="0" fontId="11" fillId="3" borderId="17" xfId="1" applyFill="1" applyBorder="1" applyAlignment="1">
      <alignment horizontal="left" vertical="center"/>
    </xf>
    <xf numFmtId="0" fontId="8" fillId="3" borderId="14" xfId="0" applyFont="1" applyFill="1" applyBorder="1" applyAlignment="1">
      <alignment horizontal="left" vertical="center"/>
    </xf>
    <xf numFmtId="0" fontId="8" fillId="3" borderId="15" xfId="0" applyFont="1" applyFill="1" applyBorder="1" applyAlignment="1">
      <alignment horizontal="left" vertical="center"/>
    </xf>
    <xf numFmtId="0" fontId="8" fillId="3" borderId="16" xfId="0" applyFont="1" applyFill="1" applyBorder="1" applyAlignment="1">
      <alignment horizontal="left" vertical="center"/>
    </xf>
    <xf numFmtId="0" fontId="8" fillId="3" borderId="17" xfId="0" applyFont="1" applyFill="1" applyBorder="1" applyAlignment="1">
      <alignment horizontal="left" vertical="center"/>
    </xf>
    <xf numFmtId="0" fontId="21" fillId="6" borderId="40" xfId="0" applyFont="1" applyFill="1" applyBorder="1" applyAlignment="1" applyProtection="1">
      <alignment horizontal="center" vertical="center"/>
    </xf>
    <xf numFmtId="0" fontId="0" fillId="0" borderId="23" xfId="0" applyBorder="1" applyAlignment="1" applyProtection="1">
      <alignment horizontal="left" vertical="center"/>
    </xf>
    <xf numFmtId="0" fontId="0" fillId="0" borderId="7" xfId="0" applyBorder="1" applyAlignment="1" applyProtection="1">
      <alignment horizontal="left" vertical="center"/>
    </xf>
    <xf numFmtId="0" fontId="0" fillId="0" borderId="2" xfId="0" applyBorder="1" applyAlignment="1" applyProtection="1">
      <alignment horizontal="left" vertical="center"/>
    </xf>
    <xf numFmtId="0" fontId="3" fillId="0" borderId="34" xfId="0" applyFont="1" applyBorder="1" applyAlignment="1">
      <alignment horizontal="center" vertical="center" wrapText="1"/>
    </xf>
    <xf numFmtId="0" fontId="3" fillId="0" borderId="0" xfId="0" applyFont="1" applyBorder="1" applyAlignment="1">
      <alignment horizontal="center" vertical="center" wrapText="1"/>
    </xf>
    <xf numFmtId="0" fontId="3" fillId="3" borderId="20" xfId="0" applyFont="1" applyFill="1" applyBorder="1" applyAlignment="1" applyProtection="1">
      <alignment horizontal="center" vertical="center" wrapText="1"/>
    </xf>
    <xf numFmtId="0" fontId="3" fillId="3" borderId="18" xfId="0" applyFont="1" applyFill="1" applyBorder="1" applyAlignment="1" applyProtection="1">
      <alignment horizontal="center" vertical="center"/>
    </xf>
    <xf numFmtId="0" fontId="3" fillId="3" borderId="33"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10" fillId="0" borderId="7" xfId="0" applyFont="1" applyBorder="1" applyAlignment="1" applyProtection="1">
      <alignment horizontal="center" vertical="center"/>
    </xf>
    <xf numFmtId="0" fontId="10" fillId="0" borderId="9" xfId="0" applyFont="1" applyBorder="1" applyAlignment="1" applyProtection="1">
      <alignment horizontal="center" vertical="center"/>
    </xf>
    <xf numFmtId="0" fontId="3" fillId="3" borderId="36" xfId="0" applyFont="1" applyFill="1" applyBorder="1" applyAlignment="1" applyProtection="1">
      <alignment horizontal="center" vertical="center" wrapText="1"/>
    </xf>
    <xf numFmtId="0" fontId="3" fillId="3" borderId="35" xfId="0" applyFont="1" applyFill="1" applyBorder="1" applyAlignment="1" applyProtection="1">
      <alignment horizontal="center" vertical="center" wrapText="1"/>
    </xf>
    <xf numFmtId="0" fontId="3" fillId="3" borderId="16" xfId="0" applyFont="1" applyFill="1" applyBorder="1" applyAlignment="1" applyProtection="1">
      <alignment horizontal="center" vertical="center" wrapText="1"/>
    </xf>
    <xf numFmtId="0" fontId="3" fillId="3" borderId="17" xfId="0" applyFont="1" applyFill="1" applyBorder="1" applyAlignment="1" applyProtection="1">
      <alignment horizontal="center" vertical="center" wrapText="1"/>
    </xf>
    <xf numFmtId="0" fontId="3" fillId="2" borderId="1" xfId="0" applyFont="1" applyFill="1" applyBorder="1" applyAlignment="1" applyProtection="1">
      <alignment horizontal="left" vertical="center"/>
    </xf>
    <xf numFmtId="0" fontId="1" fillId="4" borderId="22" xfId="0" applyFont="1" applyFill="1" applyBorder="1" applyAlignment="1" applyProtection="1">
      <alignment horizontal="left" vertical="center"/>
      <protection locked="0"/>
    </xf>
    <xf numFmtId="0" fontId="1" fillId="4" borderId="7" xfId="0" applyFont="1" applyFill="1" applyBorder="1" applyAlignment="1" applyProtection="1">
      <alignment horizontal="left" vertical="center"/>
      <protection locked="0"/>
    </xf>
    <xf numFmtId="0" fontId="4" fillId="3" borderId="34" xfId="0" applyFont="1" applyFill="1" applyBorder="1" applyAlignment="1" applyProtection="1">
      <alignment horizontal="left" vertical="center"/>
    </xf>
    <xf numFmtId="0" fontId="4" fillId="3" borderId="0" xfId="0" applyFont="1" applyFill="1" applyBorder="1" applyAlignment="1" applyProtection="1">
      <alignment horizontal="left" vertical="center"/>
    </xf>
    <xf numFmtId="0" fontId="4" fillId="3" borderId="35" xfId="0" applyFont="1" applyFill="1" applyBorder="1" applyAlignment="1" applyProtection="1">
      <alignment horizontal="left" vertical="center"/>
    </xf>
    <xf numFmtId="0" fontId="4" fillId="3" borderId="26" xfId="0" applyFont="1" applyFill="1" applyBorder="1" applyAlignment="1" applyProtection="1">
      <alignment horizontal="left" vertical="center"/>
    </xf>
    <xf numFmtId="0" fontId="4" fillId="3" borderId="25" xfId="0" applyFont="1" applyFill="1" applyBorder="1" applyAlignment="1" applyProtection="1">
      <alignment horizontal="left" vertical="center"/>
    </xf>
    <xf numFmtId="0" fontId="4" fillId="3" borderId="17" xfId="0" applyFont="1" applyFill="1" applyBorder="1" applyAlignment="1" applyProtection="1">
      <alignment horizontal="left" vertical="center"/>
    </xf>
    <xf numFmtId="0" fontId="5" fillId="0" borderId="23" xfId="0" applyFont="1" applyFill="1" applyBorder="1" applyAlignment="1" applyProtection="1">
      <alignment horizontal="left" vertical="center"/>
    </xf>
    <xf numFmtId="0" fontId="5" fillId="0" borderId="7" xfId="0" applyFont="1" applyFill="1" applyBorder="1" applyAlignment="1" applyProtection="1">
      <alignment horizontal="left" vertical="center"/>
    </xf>
    <xf numFmtId="0" fontId="16" fillId="0" borderId="42" xfId="0" applyFont="1" applyBorder="1" applyAlignment="1" applyProtection="1">
      <alignment horizontal="center" vertical="center" wrapText="1"/>
    </xf>
    <xf numFmtId="0" fontId="16" fillId="0" borderId="39" xfId="0" applyFont="1" applyBorder="1" applyAlignment="1" applyProtection="1">
      <alignment horizontal="center" vertical="center" wrapText="1"/>
    </xf>
    <xf numFmtId="0" fontId="16" fillId="0" borderId="38" xfId="0" applyFont="1" applyBorder="1" applyAlignment="1" applyProtection="1">
      <alignment horizontal="center" vertical="center" wrapText="1"/>
    </xf>
    <xf numFmtId="0" fontId="16" fillId="0" borderId="43" xfId="0" applyFont="1" applyBorder="1" applyAlignment="1" applyProtection="1">
      <alignment horizontal="center" vertical="center" wrapText="1"/>
    </xf>
    <xf numFmtId="0" fontId="16" fillId="0" borderId="40" xfId="0" applyFont="1" applyBorder="1" applyAlignment="1" applyProtection="1">
      <alignment horizontal="center" vertical="center" wrapText="1"/>
    </xf>
    <xf numFmtId="0" fontId="16" fillId="0" borderId="41" xfId="0" applyFont="1" applyBorder="1" applyAlignment="1" applyProtection="1">
      <alignment horizontal="center" vertical="center" wrapText="1"/>
    </xf>
    <xf numFmtId="0" fontId="3" fillId="4" borderId="22"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0" borderId="23"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17" fillId="0" borderId="23" xfId="0" applyFont="1" applyBorder="1" applyAlignment="1" applyProtection="1">
      <alignment horizontal="left" vertical="center" wrapText="1"/>
    </xf>
    <xf numFmtId="0" fontId="17" fillId="0" borderId="7"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17" fillId="0" borderId="23" xfId="0" applyFont="1" applyBorder="1" applyAlignment="1" applyProtection="1">
      <alignment horizontal="left" vertical="center"/>
    </xf>
    <xf numFmtId="0" fontId="17" fillId="0" borderId="7" xfId="0" applyFont="1" applyBorder="1" applyAlignment="1" applyProtection="1">
      <alignment horizontal="left" vertical="center"/>
    </xf>
    <xf numFmtId="0" fontId="17" fillId="0" borderId="9"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4" borderId="1" xfId="0" applyFont="1" applyFill="1" applyBorder="1" applyAlignment="1" applyProtection="1">
      <alignment horizontal="left" vertical="center"/>
      <protection locked="0"/>
    </xf>
    <xf numFmtId="0" fontId="3" fillId="4" borderId="18" xfId="0" applyFont="1" applyFill="1" applyBorder="1" applyAlignment="1" applyProtection="1">
      <alignment horizontal="left" vertical="center"/>
      <protection locked="0"/>
    </xf>
    <xf numFmtId="0" fontId="3" fillId="4" borderId="11" xfId="0" applyFont="1" applyFill="1" applyBorder="1" applyAlignment="1" applyProtection="1">
      <alignment horizontal="left" vertical="center"/>
      <protection locked="0"/>
    </xf>
    <xf numFmtId="0" fontId="3" fillId="4" borderId="13" xfId="0" applyFont="1" applyFill="1" applyBorder="1" applyAlignment="1" applyProtection="1">
      <alignment horizontal="left" vertical="center"/>
      <protection locked="0"/>
    </xf>
    <xf numFmtId="0" fontId="3" fillId="0" borderId="23"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0" fillId="4" borderId="27" xfId="0" applyFill="1" applyBorder="1" applyAlignment="1" applyProtection="1">
      <alignment horizontal="left" vertical="center"/>
      <protection locked="0"/>
    </xf>
    <xf numFmtId="0" fontId="0" fillId="4" borderId="37" xfId="0" applyFill="1" applyBorder="1" applyAlignment="1" applyProtection="1">
      <alignment horizontal="left" vertical="center"/>
      <protection locked="0"/>
    </xf>
    <xf numFmtId="0" fontId="0" fillId="4" borderId="22" xfId="0"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xf numFmtId="0" fontId="3" fillId="0" borderId="22"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2" xfId="0" applyFont="1" applyBorder="1" applyAlignment="1" applyProtection="1">
      <alignment horizontal="center" vertical="center"/>
    </xf>
    <xf numFmtId="0" fontId="1" fillId="4" borderId="27" xfId="0" applyFont="1" applyFill="1" applyBorder="1" applyAlignment="1" applyProtection="1">
      <alignment horizontal="left" vertical="center" wrapText="1"/>
      <protection locked="0"/>
    </xf>
    <xf numFmtId="0" fontId="0" fillId="4" borderId="29" xfId="0" applyFill="1" applyBorder="1" applyAlignment="1" applyProtection="1">
      <alignment horizontal="left" vertical="center"/>
      <protection locked="0"/>
    </xf>
    <xf numFmtId="0" fontId="0" fillId="4" borderId="12" xfId="0" applyFill="1" applyBorder="1" applyAlignment="1" applyProtection="1">
      <alignment horizontal="left" vertical="center"/>
      <protection locked="0"/>
    </xf>
    <xf numFmtId="0" fontId="3" fillId="0" borderId="24"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3"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 xfId="0" applyFont="1" applyBorder="1" applyAlignment="1" applyProtection="1">
      <alignment horizontal="left" vertical="center"/>
    </xf>
    <xf numFmtId="0" fontId="0" fillId="0" borderId="23" xfId="0" applyBorder="1" applyAlignment="1" applyProtection="1">
      <alignment horizontal="center"/>
    </xf>
    <xf numFmtId="0" fontId="0" fillId="0" borderId="7" xfId="0" applyBorder="1" applyAlignment="1" applyProtection="1">
      <alignment horizontal="center"/>
    </xf>
    <xf numFmtId="0" fontId="3" fillId="0" borderId="4" xfId="0" applyFont="1" applyBorder="1" applyAlignment="1" applyProtection="1">
      <alignment horizontal="center" vertical="center"/>
    </xf>
    <xf numFmtId="0" fontId="4" fillId="0" borderId="44" xfId="0" applyFont="1" applyFill="1" applyBorder="1" applyAlignment="1" applyProtection="1">
      <alignment horizontal="left" vertical="center"/>
    </xf>
    <xf numFmtId="0" fontId="4" fillId="0" borderId="45" xfId="0" applyFont="1" applyFill="1" applyBorder="1" applyAlignment="1" applyProtection="1">
      <alignment horizontal="left" vertical="center"/>
    </xf>
    <xf numFmtId="0" fontId="4" fillId="0" borderId="46" xfId="0" applyFont="1" applyFill="1" applyBorder="1" applyAlignment="1" applyProtection="1">
      <alignment horizontal="left" vertical="center"/>
    </xf>
    <xf numFmtId="0" fontId="1" fillId="0" borderId="40" xfId="0" applyFont="1" applyFill="1" applyBorder="1" applyAlignment="1" applyProtection="1">
      <alignment horizontal="center" vertical="center"/>
    </xf>
    <xf numFmtId="0" fontId="1" fillId="4" borderId="9" xfId="0" applyFont="1" applyFill="1" applyBorder="1" applyAlignment="1" applyProtection="1">
      <alignment horizontal="left" vertical="center"/>
      <protection locked="0"/>
    </xf>
    <xf numFmtId="0" fontId="4" fillId="0" borderId="16" xfId="0" applyFont="1" applyBorder="1" applyAlignment="1" applyProtection="1">
      <alignment horizontal="left" vertical="center"/>
    </xf>
    <xf numFmtId="0" fontId="4" fillId="0" borderId="25" xfId="0" applyFont="1" applyBorder="1" applyAlignment="1" applyProtection="1">
      <alignment horizontal="left" vertical="center"/>
    </xf>
    <xf numFmtId="0" fontId="4" fillId="0" borderId="48" xfId="0" applyFont="1" applyBorder="1" applyAlignment="1" applyProtection="1">
      <alignment horizontal="left" vertical="center"/>
    </xf>
    <xf numFmtId="0" fontId="13" fillId="0" borderId="0" xfId="0" applyFont="1" applyAlignment="1">
      <alignment horizontal="left"/>
    </xf>
    <xf numFmtId="0" fontId="1" fillId="0" borderId="0" xfId="0" applyFont="1" applyAlignment="1">
      <alignment horizontal="center" vertical="center" wrapText="1"/>
    </xf>
    <xf numFmtId="0" fontId="20" fillId="0" borderId="0" xfId="0" applyFont="1" applyAlignment="1">
      <alignment horizontal="left" vertical="center" wrapText="1"/>
    </xf>
  </cellXfs>
  <cellStyles count="2">
    <cellStyle name="Hyperlink" xfId="1" builtinId="8"/>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2060"/>
      </font>
      <fill>
        <patternFill>
          <bgColor theme="3" tint="0.59996337778862885"/>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8FEB4"/>
      <color rgb="FFE4FEB4"/>
      <color rgb="FFD5FE8A"/>
      <color rgb="FF3CECF0"/>
      <color rgb="FFFFFFCC"/>
      <color rgb="FFCCFF66"/>
      <color rgb="FFB9FAFD"/>
      <color rgb="FF8FE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22" fmlaLink="$F$3" fmlaRange="Procedure!$B$13:$B$14" sel="2" val="0"/>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gif"/><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1604122</xdr:colOff>
      <xdr:row>0</xdr:row>
      <xdr:rowOff>451597</xdr:rowOff>
    </xdr:to>
    <xdr:pic>
      <xdr:nvPicPr>
        <xdr:cNvPr id="5" name="Picture 5" descr="_WUR_F">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307416" cy="451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19050</xdr:colOff>
          <xdr:row>2</xdr:row>
          <xdr:rowOff>0</xdr:rowOff>
        </xdr:from>
        <xdr:to>
          <xdr:col>8</xdr:col>
          <xdr:colOff>1019175</xdr:colOff>
          <xdr:row>2</xdr:row>
          <xdr:rowOff>200025</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5892515</xdr:colOff>
      <xdr:row>0</xdr:row>
      <xdr:rowOff>87584</xdr:rowOff>
    </xdr:from>
    <xdr:to>
      <xdr:col>1</xdr:col>
      <xdr:colOff>1614769</xdr:colOff>
      <xdr:row>0</xdr:row>
      <xdr:rowOff>810170</xdr:rowOff>
    </xdr:to>
    <xdr:pic>
      <xdr:nvPicPr>
        <xdr:cNvPr id="3" name="Picture 2" descr="wur_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2515" y="87584"/>
          <a:ext cx="4250961" cy="7225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229909</xdr:colOff>
      <xdr:row>11</xdr:row>
      <xdr:rowOff>2</xdr:rowOff>
    </xdr:from>
    <xdr:to>
      <xdr:col>10</xdr:col>
      <xdr:colOff>6809828</xdr:colOff>
      <xdr:row>37</xdr:row>
      <xdr:rowOff>366824</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12316806" y="4193192"/>
          <a:ext cx="10258539" cy="5205960"/>
        </a:xfrm>
        <a:prstGeom prst="rect">
          <a:avLst/>
        </a:prstGeom>
        <a:ln>
          <a:solidFill>
            <a:schemeClr val="accent1"/>
          </a:solidFill>
        </a:ln>
      </xdr:spPr>
    </xdr:pic>
    <xdr:clientData/>
  </xdr:twoCellAnchor>
  <xdr:twoCellAnchor editAs="oneCell">
    <xdr:from>
      <xdr:col>12</xdr:col>
      <xdr:colOff>0</xdr:colOff>
      <xdr:row>11</xdr:row>
      <xdr:rowOff>0</xdr:rowOff>
    </xdr:from>
    <xdr:to>
      <xdr:col>34</xdr:col>
      <xdr:colOff>91566</xdr:colOff>
      <xdr:row>38</xdr:row>
      <xdr:rowOff>164224</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21075431" y="4193190"/>
          <a:ext cx="13579841" cy="5386551"/>
        </a:xfrm>
        <a:prstGeom prst="rect">
          <a:avLst/>
        </a:prstGeom>
        <a:ln>
          <a:solidFill>
            <a:schemeClr val="accent1"/>
          </a:solidFill>
        </a:ln>
      </xdr:spPr>
    </xdr:pic>
    <xdr:clientData/>
  </xdr:twoCellAnchor>
  <xdr:twoCellAnchor editAs="oneCell">
    <xdr:from>
      <xdr:col>35</xdr:col>
      <xdr:colOff>0</xdr:colOff>
      <xdr:row>11</xdr:row>
      <xdr:rowOff>0</xdr:rowOff>
    </xdr:from>
    <xdr:to>
      <xdr:col>57</xdr:col>
      <xdr:colOff>351016</xdr:colOff>
      <xdr:row>38</xdr:row>
      <xdr:rowOff>164224</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a:stretch>
          <a:fillRect/>
        </a:stretch>
      </xdr:blipFill>
      <xdr:spPr>
        <a:xfrm>
          <a:off x="35176810" y="4193190"/>
          <a:ext cx="13839292" cy="5386551"/>
        </a:xfrm>
        <a:prstGeom prst="rect">
          <a:avLst/>
        </a:prstGeom>
        <a:ln>
          <a:solidFill>
            <a:schemeClr val="accent1">
              <a:shade val="50000"/>
            </a:schemeClr>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arm.gooren@wur.nl" TargetMode="External"/><Relationship Id="rId1" Type="http://schemas.openxmlformats.org/officeDocument/2006/relationships/hyperlink" Target="mailto:gerben.bakker@wur.n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E14"/>
  <sheetViews>
    <sheetView zoomScale="90" zoomScaleNormal="90" workbookViewId="0">
      <selection activeCell="B13" sqref="B13:C13"/>
    </sheetView>
  </sheetViews>
  <sheetFormatPr defaultRowHeight="12.75"/>
  <cols>
    <col min="1" max="1" width="3.28515625" style="1" customWidth="1"/>
    <col min="2" max="2" width="19.28515625" customWidth="1"/>
    <col min="3" max="5" width="28" customWidth="1"/>
    <col min="6" max="6" width="17" bestFit="1" customWidth="1"/>
  </cols>
  <sheetData>
    <row r="1" spans="1:5" ht="18.75" customHeight="1">
      <c r="A1" s="118" t="s">
        <v>128</v>
      </c>
      <c r="B1" s="118"/>
      <c r="C1" s="118"/>
      <c r="D1" s="118"/>
      <c r="E1" s="118"/>
    </row>
    <row r="2" spans="1:5" ht="18.75" customHeight="1">
      <c r="A2" s="119"/>
      <c r="B2" s="119"/>
      <c r="C2" s="119"/>
      <c r="D2" s="119"/>
      <c r="E2" s="119"/>
    </row>
    <row r="3" spans="1:5" s="12" customFormat="1" ht="30" customHeight="1">
      <c r="A3" s="13">
        <v>1</v>
      </c>
      <c r="B3" s="120" t="s">
        <v>36</v>
      </c>
      <c r="C3" s="120"/>
      <c r="D3" s="120"/>
      <c r="E3" s="120"/>
    </row>
    <row r="4" spans="1:5" s="12" customFormat="1" ht="30" customHeight="1">
      <c r="A4" s="13"/>
      <c r="B4" s="115" t="s">
        <v>123</v>
      </c>
      <c r="C4" s="116"/>
      <c r="D4" s="116"/>
      <c r="E4" s="117"/>
    </row>
    <row r="5" spans="1:5" s="12" customFormat="1" ht="30" customHeight="1">
      <c r="A5" s="13">
        <v>3</v>
      </c>
      <c r="B5" s="120" t="s">
        <v>41</v>
      </c>
      <c r="C5" s="120"/>
      <c r="D5" s="120"/>
      <c r="E5" s="120"/>
    </row>
    <row r="6" spans="1:5" s="12" customFormat="1" ht="30" customHeight="1">
      <c r="A6" s="13">
        <v>4</v>
      </c>
      <c r="B6" s="120" t="s">
        <v>40</v>
      </c>
      <c r="C6" s="120"/>
      <c r="D6" s="120"/>
      <c r="E6" s="120"/>
    </row>
    <row r="7" spans="1:5" s="12" customFormat="1" ht="30" customHeight="1">
      <c r="A7" s="13">
        <v>5</v>
      </c>
      <c r="B7" s="121" t="s">
        <v>42</v>
      </c>
      <c r="C7" s="121"/>
      <c r="D7" s="121"/>
      <c r="E7" s="121"/>
    </row>
    <row r="8" spans="1:5" s="12" customFormat="1" ht="30" customHeight="1">
      <c r="A8" s="122"/>
      <c r="B8" s="123"/>
      <c r="C8" s="123"/>
      <c r="D8" s="123"/>
      <c r="E8" s="123"/>
    </row>
    <row r="9" spans="1:5" s="12" customFormat="1" ht="30" customHeight="1">
      <c r="A9" s="130" t="s">
        <v>37</v>
      </c>
      <c r="B9" s="131"/>
      <c r="C9" s="124" t="s">
        <v>38</v>
      </c>
      <c r="D9" s="125"/>
      <c r="E9" s="126"/>
    </row>
    <row r="10" spans="1:5" s="12" customFormat="1" ht="30" customHeight="1">
      <c r="A10" s="132"/>
      <c r="B10" s="133"/>
      <c r="C10" s="127" t="s">
        <v>39</v>
      </c>
      <c r="D10" s="128"/>
      <c r="E10" s="129"/>
    </row>
    <row r="11" spans="1:5" ht="30" customHeight="1"/>
    <row r="12" spans="1:5" ht="30" customHeight="1">
      <c r="B12" s="74" t="s">
        <v>89</v>
      </c>
    </row>
    <row r="13" spans="1:5">
      <c r="B13" s="114" t="s">
        <v>121</v>
      </c>
      <c r="C13" s="114"/>
    </row>
    <row r="14" spans="1:5">
      <c r="B14" s="114" t="s">
        <v>90</v>
      </c>
      <c r="C14" s="114"/>
    </row>
  </sheetData>
  <sheetProtection sheet="1" objects="1" scenarios="1"/>
  <mergeCells count="12">
    <mergeCell ref="B14:C14"/>
    <mergeCell ref="B13:C13"/>
    <mergeCell ref="B4:E4"/>
    <mergeCell ref="A1:E2"/>
    <mergeCell ref="B3:E3"/>
    <mergeCell ref="B5:E5"/>
    <mergeCell ref="B6:E6"/>
    <mergeCell ref="B7:E7"/>
    <mergeCell ref="A8:E8"/>
    <mergeCell ref="C9:E9"/>
    <mergeCell ref="C10:E10"/>
    <mergeCell ref="A9:B10"/>
  </mergeCells>
  <phoneticPr fontId="2" type="noConversion"/>
  <hyperlinks>
    <hyperlink ref="C9" r:id="rId1" xr:uid="{00000000-0004-0000-0000-000000000000}"/>
    <hyperlink ref="C10" r:id="rId2" xr:uid="{00000000-0004-0000-0000-000001000000}"/>
  </hyperlinks>
  <pageMargins left="0.75" right="0.75" top="1" bottom="1" header="0.5" footer="0.5"/>
  <pageSetup paperSize="9" orientation="landscape" r:id="rId3"/>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R66"/>
  <sheetViews>
    <sheetView showGridLines="0" tabSelected="1" zoomScale="85" zoomScaleNormal="85" workbookViewId="0">
      <selection activeCell="B64" sqref="B64"/>
    </sheetView>
  </sheetViews>
  <sheetFormatPr defaultRowHeight="12.75"/>
  <cols>
    <col min="1" max="1" width="25.5703125" customWidth="1"/>
    <col min="2" max="2" width="37" customWidth="1"/>
    <col min="3" max="3" width="12" customWidth="1"/>
    <col min="4" max="4" width="17" bestFit="1" customWidth="1"/>
    <col min="5" max="5" width="48.5703125" customWidth="1"/>
    <col min="6" max="6" width="13.28515625" style="4" customWidth="1"/>
    <col min="7" max="7" width="11.5703125" style="4" customWidth="1"/>
    <col min="8" max="8" width="10.42578125" style="4" customWidth="1"/>
    <col min="9" max="9" width="15.42578125" style="4" customWidth="1"/>
    <col min="10" max="10" width="14.28515625" bestFit="1" customWidth="1"/>
    <col min="11" max="11" width="14.5703125" customWidth="1"/>
    <col min="12" max="12" width="9.140625" customWidth="1"/>
    <col min="13" max="13" width="8.140625" hidden="1" customWidth="1"/>
    <col min="14" max="14" width="7.140625" hidden="1" customWidth="1"/>
  </cols>
  <sheetData>
    <row r="1" spans="1:18" ht="43.5" customHeight="1" thickBot="1">
      <c r="A1" s="42"/>
      <c r="B1" s="42"/>
      <c r="C1" s="42"/>
      <c r="D1" s="134" t="s">
        <v>143</v>
      </c>
      <c r="E1" s="134"/>
      <c r="F1" s="134"/>
      <c r="G1" s="134"/>
      <c r="H1" s="134"/>
      <c r="I1" s="134"/>
    </row>
    <row r="2" spans="1:18" ht="39.950000000000003" customHeight="1">
      <c r="A2" s="206" t="s">
        <v>142</v>
      </c>
      <c r="B2" s="207"/>
      <c r="C2" s="207"/>
      <c r="D2" s="207"/>
      <c r="E2" s="207"/>
      <c r="F2" s="207"/>
      <c r="G2" s="207"/>
      <c r="H2" s="207"/>
      <c r="I2" s="208"/>
    </row>
    <row r="3" spans="1:18" ht="20.100000000000001" customHeight="1">
      <c r="A3" s="159" t="s">
        <v>81</v>
      </c>
      <c r="B3" s="160"/>
      <c r="C3" s="41" t="s">
        <v>55</v>
      </c>
      <c r="D3" s="58" t="s">
        <v>134</v>
      </c>
      <c r="E3" s="105" t="s">
        <v>122</v>
      </c>
      <c r="F3" s="167">
        <v>2</v>
      </c>
      <c r="G3" s="168"/>
      <c r="H3" s="168"/>
      <c r="I3" s="169"/>
    </row>
    <row r="4" spans="1:18" ht="23.25" customHeight="1">
      <c r="A4" s="159" t="s">
        <v>118</v>
      </c>
      <c r="B4" s="160"/>
      <c r="C4" s="41" t="s">
        <v>55</v>
      </c>
      <c r="D4" s="58" t="s">
        <v>66</v>
      </c>
      <c r="E4" s="161" t="str">
        <f>IF(F3=1,"Subsidy projects need a reservation in Equivalent Hours for Work (column J) + Equivalent Hours for Lab Contrubution (column K), instead of Total costs (column I)", "Use Total costs (column I) as Material Costs in your project")</f>
        <v>Use Total costs (column I) as Material Costs in your project</v>
      </c>
      <c r="F4" s="162"/>
      <c r="G4" s="162"/>
      <c r="H4" s="162"/>
      <c r="I4" s="163"/>
    </row>
    <row r="5" spans="1:18" ht="23.25" customHeight="1" thickBot="1">
      <c r="A5" s="159" t="s">
        <v>67</v>
      </c>
      <c r="B5" s="160"/>
      <c r="C5" s="41" t="s">
        <v>55</v>
      </c>
      <c r="D5" s="58" t="s">
        <v>66</v>
      </c>
      <c r="E5" s="164"/>
      <c r="F5" s="165"/>
      <c r="G5" s="165"/>
      <c r="H5" s="165"/>
      <c r="I5" s="166"/>
    </row>
    <row r="6" spans="1:18" ht="20.100000000000001" customHeight="1" thickBot="1">
      <c r="A6" s="40" t="s">
        <v>12</v>
      </c>
      <c r="B6" s="39" t="s">
        <v>88</v>
      </c>
      <c r="C6" s="59"/>
      <c r="D6" s="99" t="str">
        <f>IF(AND(OR(Private="Y",Private="y",Private="N",Private="n"),OR(Member="Y",Member="y",Member="N",Member="n"),OR(Technician="Y",Technician="y",Technician="N",Technician="n")),"","Wrong selection!")</f>
        <v/>
      </c>
      <c r="E6" s="60" t="s">
        <v>62</v>
      </c>
      <c r="F6" s="66">
        <f>IF(AND(Member="y",Private="n",Technician="n"),0,
IF(AND(Member="y",Private="y",Technician="n"),18,
IF(AND(Member="n",Technician="n"),25,
IF(AND(Member="y",Private="n",Technician="y"),82,
100))))</f>
        <v>100</v>
      </c>
      <c r="G6" s="209" t="s">
        <v>63</v>
      </c>
      <c r="H6" s="209"/>
      <c r="I6" s="61">
        <f>IF(AND(NOT(Technician="y"),NOT(Member="y")),25,
IF(AND(Member="y",NOT(Private="y")),0,18))</f>
        <v>18</v>
      </c>
    </row>
    <row r="7" spans="1:18" ht="39.950000000000003" customHeight="1">
      <c r="A7" s="75" t="s">
        <v>29</v>
      </c>
      <c r="B7" s="76"/>
      <c r="C7" s="76"/>
      <c r="D7" s="211" t="s">
        <v>13</v>
      </c>
      <c r="E7" s="212"/>
      <c r="F7" s="212"/>
      <c r="G7" s="212"/>
      <c r="H7" s="212"/>
      <c r="I7" s="213"/>
    </row>
    <row r="8" spans="1:18" ht="20.100000000000001" customHeight="1">
      <c r="A8" s="38" t="s">
        <v>10</v>
      </c>
      <c r="B8" s="151"/>
      <c r="C8" s="152"/>
      <c r="D8" s="150" t="s">
        <v>15</v>
      </c>
      <c r="E8" s="150"/>
      <c r="F8" s="151"/>
      <c r="G8" s="152"/>
      <c r="H8" s="152"/>
      <c r="I8" s="210"/>
    </row>
    <row r="9" spans="1:18" ht="20.100000000000001" customHeight="1">
      <c r="A9" s="38" t="s">
        <v>58</v>
      </c>
      <c r="B9" s="151"/>
      <c r="C9" s="152"/>
      <c r="D9" s="150" t="s">
        <v>16</v>
      </c>
      <c r="E9" s="150"/>
      <c r="F9" s="151"/>
      <c r="G9" s="152"/>
      <c r="H9" s="152"/>
      <c r="I9" s="210"/>
    </row>
    <row r="10" spans="1:18" ht="20.100000000000001" customHeight="1">
      <c r="A10" s="38" t="s">
        <v>14</v>
      </c>
      <c r="B10" s="151"/>
      <c r="C10" s="152"/>
      <c r="D10" s="150" t="s">
        <v>17</v>
      </c>
      <c r="E10" s="150"/>
      <c r="F10" s="151"/>
      <c r="G10" s="152"/>
      <c r="H10" s="152"/>
      <c r="I10" s="210"/>
    </row>
    <row r="11" spans="1:18" ht="20.100000000000001" customHeight="1">
      <c r="A11" s="38" t="s">
        <v>11</v>
      </c>
      <c r="B11" s="151"/>
      <c r="C11" s="152"/>
      <c r="D11" s="150" t="s">
        <v>18</v>
      </c>
      <c r="E11" s="150"/>
      <c r="F11" s="151"/>
      <c r="G11" s="152"/>
      <c r="H11" s="152"/>
      <c r="I11" s="210"/>
    </row>
    <row r="12" spans="1:18" ht="20.100000000000001" customHeight="1">
      <c r="A12" s="38" t="s">
        <v>59</v>
      </c>
      <c r="B12" s="151"/>
      <c r="C12" s="152"/>
      <c r="D12" s="150" t="s">
        <v>19</v>
      </c>
      <c r="E12" s="150"/>
      <c r="F12" s="151"/>
      <c r="G12" s="152"/>
      <c r="H12" s="152"/>
      <c r="I12" s="210"/>
      <c r="P12" s="2"/>
      <c r="R12">
        <f>F27*G27*0.645</f>
        <v>0</v>
      </c>
    </row>
    <row r="13" spans="1:18" ht="20.100000000000001" customHeight="1">
      <c r="A13" s="36"/>
      <c r="B13" s="37"/>
      <c r="C13" s="37"/>
      <c r="D13" s="150" t="s">
        <v>20</v>
      </c>
      <c r="E13" s="150"/>
      <c r="F13" s="151"/>
      <c r="G13" s="152"/>
      <c r="H13" s="152"/>
      <c r="I13" s="210"/>
      <c r="P13" s="2"/>
    </row>
    <row r="14" spans="1:18" ht="12.75" customHeight="1">
      <c r="A14" s="153" t="str">
        <f>Rate!A10</f>
        <v>Method, Complete Curves, or Other</v>
      </c>
      <c r="B14" s="154"/>
      <c r="C14" s="154"/>
      <c r="D14" s="154"/>
      <c r="E14" s="155"/>
      <c r="F14" s="142" t="s">
        <v>82</v>
      </c>
      <c r="G14" s="146" t="s">
        <v>9</v>
      </c>
      <c r="H14" s="147"/>
      <c r="I14" s="140" t="s">
        <v>109</v>
      </c>
      <c r="J14" s="138" t="str">
        <f>IF($F$3=1,"Equivalent
Hours (for Subsidy Projects)","")</f>
        <v/>
      </c>
      <c r="K14" s="139" t="str">
        <f>IF($F$3=1,"Equivalent
Hours (for Subsidy Projects)","")</f>
        <v/>
      </c>
    </row>
    <row r="15" spans="1:18">
      <c r="A15" s="153"/>
      <c r="B15" s="154"/>
      <c r="C15" s="154"/>
      <c r="D15" s="154"/>
      <c r="E15" s="155"/>
      <c r="F15" s="142"/>
      <c r="G15" s="146"/>
      <c r="H15" s="147"/>
      <c r="I15" s="140"/>
      <c r="J15" s="138"/>
      <c r="K15" s="139"/>
    </row>
    <row r="16" spans="1:18" ht="25.5" customHeight="1">
      <c r="A16" s="153"/>
      <c r="B16" s="154"/>
      <c r="C16" s="154"/>
      <c r="D16" s="154"/>
      <c r="E16" s="155"/>
      <c r="F16" s="142"/>
      <c r="G16" s="148"/>
      <c r="H16" s="149"/>
      <c r="I16" s="140"/>
      <c r="J16" s="138"/>
      <c r="K16" s="139"/>
      <c r="L16" s="70"/>
      <c r="M16" s="95" t="s">
        <v>119</v>
      </c>
      <c r="N16" s="95" t="s">
        <v>120</v>
      </c>
    </row>
    <row r="17" spans="1:16" ht="29.25" customHeight="1">
      <c r="A17" s="156"/>
      <c r="B17" s="157"/>
      <c r="C17" s="157"/>
      <c r="D17" s="157"/>
      <c r="E17" s="158"/>
      <c r="F17" s="143"/>
      <c r="G17" s="69" t="s">
        <v>110</v>
      </c>
      <c r="H17" s="43" t="s">
        <v>7</v>
      </c>
      <c r="I17" s="141"/>
      <c r="J17" s="79" t="str">
        <f>IF($F$3=1,"(Work hours)","")</f>
        <v/>
      </c>
      <c r="K17" s="106" t="str">
        <f>IF($F$3=1,"(Lab contribution hours)","")</f>
        <v/>
      </c>
      <c r="L17" s="71"/>
      <c r="M17" s="107">
        <f>F6-I6</f>
        <v>82</v>
      </c>
      <c r="N17" s="107">
        <f>I6</f>
        <v>18</v>
      </c>
    </row>
    <row r="18" spans="1:16" s="11" customFormat="1" ht="39.950000000000003" customHeight="1">
      <c r="A18" s="77" t="str">
        <f>Rate!A11</f>
        <v>Individual Methods:</v>
      </c>
      <c r="B18" s="44"/>
      <c r="C18" s="44"/>
      <c r="D18" s="45"/>
      <c r="E18" s="45"/>
      <c r="F18" s="144"/>
      <c r="G18" s="144"/>
      <c r="H18" s="144"/>
      <c r="I18" s="145"/>
      <c r="K18" s="72"/>
      <c r="L18" s="72"/>
      <c r="M18" s="72"/>
      <c r="N18" s="72"/>
    </row>
    <row r="19" spans="1:16" ht="20.100000000000001" customHeight="1">
      <c r="A19" s="135" t="str">
        <f>Rate!A12</f>
        <v>Aggregate Stability per aggregate fraction</v>
      </c>
      <c r="B19" s="136"/>
      <c r="C19" s="136"/>
      <c r="D19" s="136"/>
      <c r="E19" s="137"/>
      <c r="F19" s="43">
        <f>ROUND(($F$6/100)*Rate!B12,2)</f>
        <v>100.46</v>
      </c>
      <c r="G19" s="10"/>
      <c r="H19" s="10"/>
      <c r="I19" s="46" t="str">
        <f t="shared" ref="I19:I44" si="0">IF(AND(G19&gt;0,H19&gt;0),F19*G19*H19,"")</f>
        <v/>
      </c>
      <c r="J19" s="73" t="str">
        <f>IF(AND($G19&gt;0,$H19&gt;0,$F$3=1),IFERROR(ROUND(Rate!$B12*G19*($F$6-$I$6)/100/Rate!$B$5,2),0),"")</f>
        <v/>
      </c>
      <c r="K19" s="73" t="str">
        <f>IF(AND($G19&gt;0,$H19&gt;0,$F$3=1),IFERROR(ROUND(Rate!$B12*G19*$I$6/100/Rate!$B$5,2),0),"")</f>
        <v/>
      </c>
      <c r="L19" s="70"/>
      <c r="M19" s="70">
        <f t="shared" ref="M19:M44" si="1">IFERROR(ROUND(M$17*I19,2),0)</f>
        <v>0</v>
      </c>
      <c r="N19" s="70">
        <f t="shared" ref="N19:N44" si="2">IFERROR(ROUND(N$17*I19,2),0)</f>
        <v>0</v>
      </c>
      <c r="O19" s="33"/>
      <c r="P19" s="33"/>
    </row>
    <row r="20" spans="1:16" ht="20.100000000000001" customHeight="1">
      <c r="A20" s="135" t="str">
        <f>Rate!A13</f>
        <v>Air dry mass water content (h=-10^6 cm)</v>
      </c>
      <c r="B20" s="136"/>
      <c r="C20" s="136"/>
      <c r="D20" s="136"/>
      <c r="E20" s="137"/>
      <c r="F20" s="43">
        <f>ROUND(($F$6/100)*Rate!B13,2)</f>
        <v>25.97</v>
      </c>
      <c r="G20" s="10"/>
      <c r="H20" s="110">
        <v>1</v>
      </c>
      <c r="I20" s="46" t="str">
        <f t="shared" ref="I20" si="3">IF(AND(G20&gt;0,H20&gt;0),F20*G20*H20,"")</f>
        <v/>
      </c>
      <c r="J20" s="73" t="str">
        <f>IF(AND($G20&gt;0,$H20&gt;0,$F$3=1),IFERROR(ROUND(Rate!$B13*G20*($F$6-$I$6)/100/Rate!$B$5,2),0),"")</f>
        <v/>
      </c>
      <c r="K20" s="73" t="str">
        <f>IF(AND($G20&gt;0,$H20&gt;0,$F$3=1),IFERROR(ROUND(Rate!$B13*G20*$I$6/100/Rate!$B$5,2),0),"")</f>
        <v/>
      </c>
      <c r="L20" s="70"/>
      <c r="M20" s="70">
        <f t="shared" si="1"/>
        <v>0</v>
      </c>
      <c r="N20" s="70">
        <f t="shared" si="2"/>
        <v>0</v>
      </c>
      <c r="O20" s="33"/>
      <c r="P20" s="33"/>
    </row>
    <row r="21" spans="1:16" ht="20.100000000000001" customHeight="1">
      <c r="A21" s="135" t="str">
        <f>Rate!A14</f>
        <v>Atterberg Limits</v>
      </c>
      <c r="B21" s="136"/>
      <c r="C21" s="136"/>
      <c r="D21" s="136"/>
      <c r="E21" s="137"/>
      <c r="F21" s="43">
        <f>ROUND(($F$6/100)*Rate!B14,2)</f>
        <v>692.41</v>
      </c>
      <c r="G21" s="10"/>
      <c r="H21" s="110">
        <v>1</v>
      </c>
      <c r="I21" s="46" t="str">
        <f t="shared" si="0"/>
        <v/>
      </c>
      <c r="J21" s="73" t="str">
        <f>IF(AND($G21&gt;0,$H21&gt;0,$F$3=1),IFERROR(ROUND(Rate!$B14*G21*($F$6-$I$6)/100/Rate!$B$5,2),0),"")</f>
        <v/>
      </c>
      <c r="K21" s="73" t="str">
        <f>IF(AND($G21&gt;0,$H21&gt;0,$F$3=1),IFERROR(ROUND(Rate!$B14*G21*$I$6/100/Rate!$B$5,2),0),"")</f>
        <v/>
      </c>
      <c r="L21" s="70"/>
      <c r="M21" s="70">
        <f t="shared" si="1"/>
        <v>0</v>
      </c>
      <c r="N21" s="70">
        <f t="shared" si="2"/>
        <v>0</v>
      </c>
      <c r="O21" s="33"/>
      <c r="P21" s="33"/>
    </row>
    <row r="22" spans="1:16" ht="20.100000000000001" customHeight="1">
      <c r="A22" s="135" t="str">
        <f>Rate!A15</f>
        <v xml:space="preserve">Burette Hanging Water Column Manual (h=0 until -200cm) </v>
      </c>
      <c r="B22" s="136"/>
      <c r="C22" s="136"/>
      <c r="D22" s="136"/>
      <c r="E22" s="137"/>
      <c r="F22" s="43">
        <f>ROUND(($F$6/100)*Rate!B15,2)</f>
        <v>89.03</v>
      </c>
      <c r="G22" s="10"/>
      <c r="H22" s="10"/>
      <c r="I22" s="46" t="str">
        <f t="shared" si="0"/>
        <v/>
      </c>
      <c r="J22" s="73" t="str">
        <f>IF(AND($G22&gt;0,$H22&gt;0,$F$3=1),IFERROR(ROUND(Rate!$B15*G22*($F$6-$I$6)/100/Rate!$B$5,2),0),"")</f>
        <v/>
      </c>
      <c r="K22" s="73" t="str">
        <f>IF(AND($G22&gt;0,$H22&gt;0,$F$3=1),IFERROR(ROUND(Rate!$B15*G22*$I$6/100/Rate!$B$5,2),0),"")</f>
        <v/>
      </c>
      <c r="L22" s="70"/>
      <c r="M22" s="70">
        <f t="shared" si="1"/>
        <v>0</v>
      </c>
      <c r="N22" s="70">
        <f t="shared" si="2"/>
        <v>0</v>
      </c>
      <c r="O22" s="33"/>
      <c r="P22" s="33"/>
    </row>
    <row r="23" spans="1:16" ht="20.100000000000001" customHeight="1">
      <c r="A23" s="135" t="str">
        <f>Rate!A16</f>
        <v>Dry Bulk Density rho(d) (undisturbed samples) (T=105 dgr.C)</v>
      </c>
      <c r="B23" s="136"/>
      <c r="C23" s="136"/>
      <c r="D23" s="136"/>
      <c r="E23" s="137"/>
      <c r="F23" s="43">
        <f>ROUND(($F$6/100)*Rate!B16,2)</f>
        <v>25.97</v>
      </c>
      <c r="G23" s="10"/>
      <c r="H23" s="110">
        <v>1</v>
      </c>
      <c r="I23" s="46" t="str">
        <f t="shared" si="0"/>
        <v/>
      </c>
      <c r="J23" s="73" t="str">
        <f>IF(AND($G23&gt;0,$H23&gt;0,$F$3=1),IFERROR(ROUND(Rate!$B16*G23*($F$6-$I$6)/100/Rate!$B$5,2),0),"")</f>
        <v/>
      </c>
      <c r="K23" s="73" t="str">
        <f>IF(AND($G23&gt;0,$H23&gt;0,$F$3=1),IFERROR(ROUND(Rate!$B16*G23*$I$6/100/Rate!$B$5,2),0),"")</f>
        <v/>
      </c>
      <c r="L23" s="70"/>
      <c r="M23" s="70">
        <f t="shared" si="1"/>
        <v>0</v>
      </c>
      <c r="N23" s="70">
        <f t="shared" si="2"/>
        <v>0</v>
      </c>
      <c r="O23" s="33"/>
      <c r="P23" s="33"/>
    </row>
    <row r="24" spans="1:16" ht="20.100000000000001" customHeight="1">
      <c r="A24" s="135" t="str">
        <f>Rate!A17</f>
        <v>Evaporation (Wind) (h=-50 until -700cm) (fixed &gt; 20 points), excl Evapfilter, excl MvGfit</v>
      </c>
      <c r="B24" s="136"/>
      <c r="C24" s="136"/>
      <c r="D24" s="136"/>
      <c r="E24" s="137"/>
      <c r="F24" s="43">
        <f>ROUND(($F$6/100)*Rate!B17,2)</f>
        <v>866.08</v>
      </c>
      <c r="G24" s="10"/>
      <c r="H24" s="110">
        <v>1</v>
      </c>
      <c r="I24" s="46" t="str">
        <f t="shared" si="0"/>
        <v/>
      </c>
      <c r="J24" s="73" t="str">
        <f>IF(AND($G24&gt;0,$H24&gt;0,$F$3=1),IFERROR(ROUND(Rate!$B17*G24*($F$6-$I$6)/100/Rate!$B$5,2),0),"")</f>
        <v/>
      </c>
      <c r="K24" s="73" t="str">
        <f>IF(AND($G24&gt;0,$H24&gt;0,$F$3=1),IFERROR(ROUND(Rate!$B17*G24*$I$6/100/Rate!$B$5,2),0),"")</f>
        <v/>
      </c>
      <c r="L24" s="70"/>
      <c r="M24" s="70">
        <f t="shared" si="1"/>
        <v>0</v>
      </c>
      <c r="N24" s="70">
        <f t="shared" si="2"/>
        <v>0</v>
      </c>
      <c r="O24" s="33"/>
      <c r="P24" s="33"/>
    </row>
    <row r="25" spans="1:16" ht="20.100000000000001" customHeight="1">
      <c r="A25" s="135" t="str">
        <f>Rate!A18</f>
        <v>Evaporation Filter + Mualem-Van Genuchten Fit</v>
      </c>
      <c r="B25" s="136"/>
      <c r="C25" s="136"/>
      <c r="D25" s="136"/>
      <c r="E25" s="137"/>
      <c r="F25" s="43">
        <f>ROUND(($F$6/100)*Rate!B18,2)</f>
        <v>416.34</v>
      </c>
      <c r="G25" s="10"/>
      <c r="H25" s="110">
        <v>1</v>
      </c>
      <c r="I25" s="46" t="str">
        <f t="shared" ref="I25" si="4">IF(AND(G25&gt;0,H25&gt;0),F25*G25*H25,"")</f>
        <v/>
      </c>
      <c r="J25" s="73" t="str">
        <f>IF(AND($G25&gt;0,$H25&gt;0,$F$3=1),IFERROR(ROUND(Rate!$B18*G25*($F$6-$I$6)/100/Rate!$B$5,2),0),"")</f>
        <v/>
      </c>
      <c r="K25" s="73" t="str">
        <f>IF(AND($G25&gt;0,$H25&gt;0,$F$3=1),IFERROR(ROUND(Rate!$B18*G25*$I$6/100/Rate!$B$5,2),0),"")</f>
        <v/>
      </c>
      <c r="L25" s="70"/>
      <c r="M25" s="70">
        <f t="shared" si="1"/>
        <v>0</v>
      </c>
      <c r="N25" s="70">
        <f t="shared" si="2"/>
        <v>0</v>
      </c>
      <c r="O25" s="33"/>
      <c r="P25" s="33"/>
    </row>
    <row r="26" spans="1:16" ht="20.100000000000001" customHeight="1">
      <c r="A26" s="135" t="str">
        <f>Rate!A19</f>
        <v>Loss on ignition (OS) (T=550 dgr.C); i.e. excl pre-drying and sieving over 2000um</v>
      </c>
      <c r="B26" s="136"/>
      <c r="C26" s="136"/>
      <c r="D26" s="136"/>
      <c r="E26" s="137"/>
      <c r="F26" s="43">
        <f>ROUND(($F$6/100)*Rate!B19,2)</f>
        <v>19.87</v>
      </c>
      <c r="G26" s="10"/>
      <c r="H26" s="111">
        <v>1</v>
      </c>
      <c r="I26" s="46" t="str">
        <f t="shared" si="0"/>
        <v/>
      </c>
      <c r="J26" s="73" t="str">
        <f>IF(AND($G26&gt;0,$H26&gt;0,$F$3=1),IFERROR(ROUND(Rate!$B19*G26*($F$6-$I$6)/100/Rate!$B$5,2),0),"")</f>
        <v/>
      </c>
      <c r="K26" s="73" t="str">
        <f>IF(AND($G26&gt;0,$H26&gt;0,$F$3=1),IFERROR(ROUND(Rate!$B19*G26*$I$6/100/Rate!$B$5,2),0),"")</f>
        <v/>
      </c>
      <c r="L26" s="70"/>
      <c r="M26" s="70">
        <f t="shared" si="1"/>
        <v>0</v>
      </c>
      <c r="N26" s="70">
        <f t="shared" si="2"/>
        <v>0</v>
      </c>
      <c r="O26" s="33"/>
      <c r="P26" s="33"/>
    </row>
    <row r="27" spans="1:16" ht="20.100000000000001" customHeight="1">
      <c r="A27" s="135" t="str">
        <f>Rate!A20</f>
        <v>MIR Dry_Grind_Sieve (1 batch = 1 plate = 30 samples (in triplate --&gt; 90 subsamples) + 1 base + 2 ref samples (in duplo &amp; triplo --&gt; 6 subsamples). NB: Bulk Lab Fee red.</v>
      </c>
      <c r="B27" s="136"/>
      <c r="C27" s="136"/>
      <c r="D27" s="136"/>
      <c r="E27" s="137"/>
      <c r="F27" s="43">
        <f>ROUND(($F$6/100)*Rate!B20,2)</f>
        <v>1897.41</v>
      </c>
      <c r="G27" s="10"/>
      <c r="H27" s="113">
        <f>IF(G27&lt;=1,1,IF(G27&gt;=20,0.25,(20-0.25)/(20-1)-G27*(1-0.25)/(20-1)))</f>
        <v>1</v>
      </c>
      <c r="I27" s="109" t="str">
        <f>IF(AND(G27&gt;0,H27&gt;0),ROUND((($F$6-$I$6)/100)*Rate!B20*G27+(($I$6/100)*Rate!B20*G27*H27),2),"")</f>
        <v/>
      </c>
      <c r="J27" s="73" t="str">
        <f>IF(AND($G27&gt;0,$H27&gt;0,$F$3=1),IFERROR(ROUND(Rate!$B20*G27*($F$6-$I$6)/100/Rate!$B$5,2),0),"")</f>
        <v/>
      </c>
      <c r="K27" s="73" t="str">
        <f>IF(AND($G27&gt;0,$H27&gt;0,$F$3=1),IFERROR(ROUND(Rate!$B20*G27*H27*$I$6/100/Rate!$B$5,2),0),"")</f>
        <v/>
      </c>
      <c r="L27" s="108" t="str">
        <f>IF(G27&gt;1,"bulk reduction factor on Lab Fee = "&amp;ROUND(H27,4),"")</f>
        <v/>
      </c>
      <c r="M27" s="70">
        <f t="shared" si="1"/>
        <v>0</v>
      </c>
      <c r="N27" s="70">
        <f t="shared" si="2"/>
        <v>0</v>
      </c>
      <c r="O27" s="33"/>
      <c r="P27" s="33"/>
    </row>
    <row r="28" spans="1:16" ht="20.100000000000001" customHeight="1">
      <c r="A28" s="135" t="str">
        <f>Rate!A21</f>
        <v>MIR Mill (1 batch = 1 plate = 30 samples (in triplate --&gt; 90 subsamples) + 1 base + 2 ref samples (in duplo &amp; triplo --&gt; 6 subsamples)</v>
      </c>
      <c r="B28" s="136"/>
      <c r="C28" s="136"/>
      <c r="D28" s="136"/>
      <c r="E28" s="137"/>
      <c r="F28" s="43">
        <f>ROUND(($F$6/100)*Rate!B21,2)</f>
        <v>562.20000000000005</v>
      </c>
      <c r="G28" s="10"/>
      <c r="H28" s="112">
        <v>1</v>
      </c>
      <c r="I28" s="46" t="str">
        <f t="shared" si="0"/>
        <v/>
      </c>
      <c r="J28" s="73" t="str">
        <f>IF(AND($G28&gt;0,$H28&gt;0,$F$3=1),IFERROR(ROUND(Rate!$B21*G28*($F$6-$I$6)/100/Rate!$B$5,2),0),"")</f>
        <v/>
      </c>
      <c r="K28" s="73" t="str">
        <f>IF(AND($G28&gt;0,$H28&gt;0,$F$3=1),IFERROR(ROUND(Rate!$B21*G28*$I$6/100/Rate!$B$5,2),0),"")</f>
        <v/>
      </c>
      <c r="L28" s="108"/>
      <c r="M28" s="70">
        <f t="shared" si="1"/>
        <v>0</v>
      </c>
      <c r="N28" s="70">
        <f t="shared" si="2"/>
        <v>0</v>
      </c>
      <c r="O28" s="33"/>
      <c r="P28" s="33"/>
    </row>
    <row r="29" spans="1:16" ht="20.100000000000001" customHeight="1">
      <c r="A29" s="135" t="str">
        <f>Rate!A22</f>
        <v>MIR Operation (1 batch = 1 plate = 30 samples (in triplate --&gt; 90 subsamples) + 1 base + 2 ref samples (in duplo &amp; triplo --&gt; 6 subsamples)</v>
      </c>
      <c r="B29" s="136"/>
      <c r="C29" s="136"/>
      <c r="D29" s="136"/>
      <c r="E29" s="137"/>
      <c r="F29" s="43">
        <f>ROUND(($F$6/100)*Rate!B22,2)</f>
        <v>351.38</v>
      </c>
      <c r="G29" s="10"/>
      <c r="H29" s="110">
        <v>1</v>
      </c>
      <c r="I29" s="46" t="str">
        <f t="shared" si="0"/>
        <v/>
      </c>
      <c r="J29" s="73" t="str">
        <f>IF(AND($G29&gt;0,$H29&gt;0,$F$3=1),IFERROR(ROUND(Rate!$B22*G29*($F$6-$I$6)/100/Rate!$B$5,2),0),"")</f>
        <v/>
      </c>
      <c r="K29" s="73" t="str">
        <f>IF(AND($G29&gt;0,$H29&gt;0,$F$3=1),IFERROR(ROUND(Rate!$B22*G29*$I$6/100/Rate!$B$5,2),0),"")</f>
        <v/>
      </c>
      <c r="L29" s="108"/>
      <c r="M29" s="70">
        <f t="shared" si="1"/>
        <v>0</v>
      </c>
      <c r="N29" s="70">
        <f t="shared" si="2"/>
        <v>0</v>
      </c>
      <c r="O29" s="33"/>
      <c r="P29" s="33"/>
    </row>
    <row r="30" spans="1:16" ht="20.100000000000001" customHeight="1">
      <c r="A30" s="135" t="str">
        <f>Rate!A23</f>
        <v>Multistep (h=0 until -1000cm) (fixed &gt; 50 points)</v>
      </c>
      <c r="B30" s="136"/>
      <c r="C30" s="136"/>
      <c r="D30" s="136"/>
      <c r="E30" s="137"/>
      <c r="F30" s="43">
        <f>ROUND(($F$6/100)*Rate!B23,2)</f>
        <v>134.77000000000001</v>
      </c>
      <c r="G30" s="10"/>
      <c r="H30" s="110">
        <v>1</v>
      </c>
      <c r="I30" s="46" t="str">
        <f t="shared" si="0"/>
        <v/>
      </c>
      <c r="J30" s="73" t="str">
        <f>IF(AND($G30&gt;0,$H30&gt;0,$F$3=1),IFERROR(ROUND(Rate!$B23*G30*($F$6-$I$6)/100/Rate!$B$5,2),0),"")</f>
        <v/>
      </c>
      <c r="K30" s="73" t="str">
        <f>IF(AND($G30&gt;0,$H30&gt;0,$F$3=1),IFERROR(ROUND(Rate!$B23*G30*$I$6/100/Rate!$B$5,2),0),"")</f>
        <v/>
      </c>
      <c r="L30" s="70"/>
      <c r="M30" s="70">
        <f t="shared" si="1"/>
        <v>0</v>
      </c>
      <c r="N30" s="70">
        <f t="shared" si="2"/>
        <v>0</v>
      </c>
      <c r="O30" s="33"/>
      <c r="P30" s="33"/>
    </row>
    <row r="31" spans="1:16" ht="20.100000000000001" customHeight="1">
      <c r="A31" s="135" t="str">
        <f>Rate!A24</f>
        <v>Pipette Preparation (CBLB): Break, dry40, sieve &lt;2000u, Remove OM (H2O2), Carbonates (HCl) (Only performed by Lab personnel)</v>
      </c>
      <c r="B31" s="136"/>
      <c r="C31" s="136"/>
      <c r="D31" s="136"/>
      <c r="E31" s="137"/>
      <c r="F31" s="47">
        <f>Rate!B24</f>
        <v>144.3603370786517</v>
      </c>
      <c r="G31" s="10"/>
      <c r="H31" s="110">
        <v>1</v>
      </c>
      <c r="I31" s="46" t="str">
        <f t="shared" si="0"/>
        <v/>
      </c>
      <c r="J31" s="73" t="str">
        <f>IF(AND($G31&gt;0,$H31&gt;0,$F$3=1),IFERROR(ROUND(Rate!$B24*G31*($F$6-$I$6)/100/Rate!$B$5,2),0),"")</f>
        <v/>
      </c>
      <c r="K31" s="73" t="str">
        <f>IF(AND($G31&gt;0,$H31&gt;0,$F$3=1),IFERROR(ROUND(Rate!$B24*G31*$I$6/100/Rate!$B$5,2),0),"")</f>
        <v/>
      </c>
      <c r="L31" s="70"/>
      <c r="M31" s="70">
        <f t="shared" si="1"/>
        <v>0</v>
      </c>
      <c r="N31" s="70">
        <f t="shared" si="2"/>
        <v>0</v>
      </c>
    </row>
    <row r="32" spans="1:16" ht="20.100000000000001" customHeight="1">
      <c r="A32" s="135" t="str">
        <f>Rate!A25</f>
        <v>Pipette Method or Wet sieve per fraction (CBLB) (N.B: Preparation excl.) Only performed by lab personnel</v>
      </c>
      <c r="B32" s="136"/>
      <c r="C32" s="136"/>
      <c r="D32" s="136"/>
      <c r="E32" s="137"/>
      <c r="F32" s="47">
        <f>Rate!B25</f>
        <v>24.396741573033712</v>
      </c>
      <c r="G32" s="10"/>
      <c r="H32" s="10"/>
      <c r="I32" s="46" t="str">
        <f t="shared" si="0"/>
        <v/>
      </c>
      <c r="J32" s="73" t="str">
        <f>IF(AND($G32&gt;0,$H32&gt;0,$F$3=1),IFERROR(ROUND(Rate!$B25*G32*($F$6-$I$6)/100/Rate!$B$5,2),0),"")</f>
        <v/>
      </c>
      <c r="K32" s="73" t="str">
        <f>IF(AND($G32&gt;0,$H32&gt;0,$F$3=1),IFERROR(ROUND(Rate!$B25*G32*$I$6/100/Rate!$B$5,2),0),"")</f>
        <v/>
      </c>
      <c r="L32" s="70"/>
      <c r="M32" s="70">
        <f t="shared" si="1"/>
        <v>0</v>
      </c>
      <c r="N32" s="70">
        <f t="shared" si="2"/>
        <v>0</v>
      </c>
    </row>
    <row r="33" spans="1:15" ht="20.100000000000001" customHeight="1">
      <c r="A33" s="135" t="str">
        <f>Rate!A26</f>
        <v>Pore Volume (excl drying at 105 gr.C)  with air pycnometer</v>
      </c>
      <c r="B33" s="136"/>
      <c r="C33" s="136"/>
      <c r="D33" s="136"/>
      <c r="E33" s="137"/>
      <c r="F33" s="43">
        <f>ROUND(($F$6/100)*Rate!B26,2)</f>
        <v>53.18</v>
      </c>
      <c r="G33" s="10"/>
      <c r="H33" s="110">
        <v>1</v>
      </c>
      <c r="I33" s="46" t="str">
        <f t="shared" si="0"/>
        <v/>
      </c>
      <c r="J33" s="73" t="str">
        <f>IF(AND($G33&gt;0,$H33&gt;0,$F$3=1),IFERROR(ROUND(Rate!$B26*G33*($F$6-$I$6)/100/Rate!$B$5,2),0),"")</f>
        <v/>
      </c>
      <c r="K33" s="73" t="str">
        <f>IF(AND($G33&gt;0,$H33&gt;0,$F$3=1),IFERROR(ROUND(Rate!$B26*G33*$I$6/100/Rate!$B$5,2),0),"")</f>
        <v/>
      </c>
      <c r="L33" s="70"/>
      <c r="M33" s="70">
        <f t="shared" si="1"/>
        <v>0</v>
      </c>
      <c r="N33" s="70">
        <f t="shared" si="2"/>
        <v>0</v>
      </c>
    </row>
    <row r="34" spans="1:15" ht="20.100000000000001" customHeight="1">
      <c r="A34" s="135" t="str">
        <f>Rate!A27</f>
        <v>Pressure Plate (h=-10^3 until -10^4cm)</v>
      </c>
      <c r="B34" s="136"/>
      <c r="C34" s="136"/>
      <c r="D34" s="136"/>
      <c r="E34" s="137"/>
      <c r="F34" s="43">
        <f>ROUND(($F$6/100)*Rate!B27,2)</f>
        <v>98.9</v>
      </c>
      <c r="G34" s="10"/>
      <c r="H34" s="10"/>
      <c r="I34" s="46" t="str">
        <f t="shared" si="0"/>
        <v/>
      </c>
      <c r="J34" s="73" t="str">
        <f>IF(AND($G34&gt;0,$H34&gt;0,$F$3=1),IFERROR(ROUND(Rate!$B27*G34*($F$6-$I$6)/100/Rate!$B$5,2),0),"")</f>
        <v/>
      </c>
      <c r="K34" s="73" t="str">
        <f>IF(AND($G34&gt;0,$H34&gt;0,$F$3=1),IFERROR(ROUND(Rate!$B27*G34*$I$6/100/Rate!$B$5,2),0),"")</f>
        <v/>
      </c>
      <c r="L34" s="70"/>
      <c r="M34" s="70">
        <f t="shared" si="1"/>
        <v>0</v>
      </c>
      <c r="N34" s="70">
        <f t="shared" si="2"/>
        <v>0</v>
      </c>
    </row>
    <row r="35" spans="1:15" ht="20.100000000000001" customHeight="1">
      <c r="A35" s="135" t="str">
        <f>Rate!A28</f>
        <v>Sandbox (h=0 until -100cm)</v>
      </c>
      <c r="B35" s="136"/>
      <c r="C35" s="136"/>
      <c r="D35" s="136"/>
      <c r="E35" s="137"/>
      <c r="F35" s="43">
        <f>ROUND(($F$6/100)*Rate!B28,2)</f>
        <v>25.97</v>
      </c>
      <c r="G35" s="10"/>
      <c r="H35" s="10"/>
      <c r="I35" s="46" t="str">
        <f t="shared" si="0"/>
        <v/>
      </c>
      <c r="J35" s="73" t="str">
        <f>IF(AND($G35&gt;0,$H35&gt;0,$F$3=1),IFERROR(ROUND(Rate!$B28*G35*($F$6-$I$6)/100/Rate!$B$5,2),0),"")</f>
        <v/>
      </c>
      <c r="K35" s="73" t="str">
        <f>IF(AND($G35&gt;0,$H35&gt;0,$F$3=1),IFERROR(ROUND(Rate!$B28*G35*$I$6/100/Rate!$B$5,2),0),"")</f>
        <v/>
      </c>
      <c r="L35" s="70"/>
      <c r="M35" s="70">
        <f t="shared" si="1"/>
        <v>0</v>
      </c>
      <c r="N35" s="70">
        <f t="shared" si="2"/>
        <v>0</v>
      </c>
    </row>
    <row r="36" spans="1:15" ht="20.100000000000001" customHeight="1">
      <c r="A36" s="135" t="str">
        <f>Rate!A29</f>
        <v>Saturated Hydraulic Conductivity Ksat (h=0)</v>
      </c>
      <c r="B36" s="136"/>
      <c r="C36" s="136"/>
      <c r="D36" s="136"/>
      <c r="E36" s="137"/>
      <c r="F36" s="43">
        <f>ROUND(($F$6/100)*Rate!B29,2)</f>
        <v>367.23</v>
      </c>
      <c r="G36" s="10"/>
      <c r="H36" s="110">
        <v>1</v>
      </c>
      <c r="I36" s="46" t="str">
        <f t="shared" si="0"/>
        <v/>
      </c>
      <c r="J36" s="73" t="str">
        <f>IF(AND($G36&gt;0,$H36&gt;0,$F$3=1),IFERROR(ROUND(Rate!$B29*G36*($F$6-$I$6)/100/Rate!$B$5,2),0),"")</f>
        <v/>
      </c>
      <c r="K36" s="73" t="str">
        <f>IF(AND($G36&gt;0,$H36&gt;0,$F$3=1),IFERROR(ROUND(Rate!$B29*G36*$I$6/100/Rate!$B$5,2),0),"")</f>
        <v/>
      </c>
      <c r="L36" s="70"/>
      <c r="M36" s="70">
        <f t="shared" si="1"/>
        <v>0</v>
      </c>
      <c r="N36" s="70">
        <f t="shared" si="2"/>
        <v>0</v>
      </c>
    </row>
    <row r="37" spans="1:15" ht="20.100000000000001" customHeight="1">
      <c r="A37" s="135" t="str">
        <f>Rate!A30</f>
        <v>Saturated Hydraulic Conductivity Ksat (h=0) at extreme low conductivities</v>
      </c>
      <c r="B37" s="136"/>
      <c r="C37" s="136"/>
      <c r="D37" s="136"/>
      <c r="E37" s="137"/>
      <c r="F37" s="43">
        <f>ROUND(($F$6/100)*Rate!B30,2)</f>
        <v>530.44000000000005</v>
      </c>
      <c r="G37" s="10"/>
      <c r="H37" s="110">
        <v>1</v>
      </c>
      <c r="I37" s="46" t="str">
        <f t="shared" si="0"/>
        <v/>
      </c>
      <c r="J37" s="73" t="str">
        <f>IF(AND($G37&gt;0,$H37&gt;0,$F$3=1),IFERROR(ROUND(Rate!$B30*G37*($F$6-$I$6)/100/Rate!$B$5,2),0),"")</f>
        <v/>
      </c>
      <c r="K37" s="73" t="str">
        <f>IF(AND($G37&gt;0,$H37&gt;0,$F$3=1),IFERROR(ROUND(Rate!$B30*G37*$I$6/100/Rate!$B$5,2),0),"")</f>
        <v/>
      </c>
      <c r="L37" s="70"/>
      <c r="M37" s="70">
        <f t="shared" si="1"/>
        <v>0</v>
      </c>
      <c r="N37" s="70">
        <f t="shared" si="2"/>
        <v>0</v>
      </c>
    </row>
    <row r="38" spans="1:15" ht="20.100000000000001" customHeight="1">
      <c r="A38" s="135" t="str">
        <f>Rate!A31</f>
        <v>Shrinkage Characteristic (h=0 until -10^6cm)</v>
      </c>
      <c r="B38" s="136"/>
      <c r="C38" s="136"/>
      <c r="D38" s="136"/>
      <c r="E38" s="137"/>
      <c r="F38" s="43">
        <f>ROUND(($F$6/100)*Rate!B31,2)</f>
        <v>30.9</v>
      </c>
      <c r="G38" s="10"/>
      <c r="H38" s="10"/>
      <c r="I38" s="46" t="str">
        <f t="shared" si="0"/>
        <v/>
      </c>
      <c r="J38" s="73" t="str">
        <f>IF(AND($G38&gt;0,$H38&gt;0,$F$3=1),IFERROR(ROUND(Rate!$B31*G38*($F$6-$I$6)/100/Rate!$B$5,2),0),"")</f>
        <v/>
      </c>
      <c r="K38" s="73" t="str">
        <f>IF(AND($G38&gt;0,$H38&gt;0,$F$3=1),IFERROR(ROUND(Rate!$B31*G38*$I$6/100/Rate!$B$5,2),0),"")</f>
        <v/>
      </c>
      <c r="L38" s="70"/>
      <c r="M38" s="70">
        <f t="shared" si="1"/>
        <v>0</v>
      </c>
      <c r="N38" s="70">
        <f t="shared" si="2"/>
        <v>0</v>
      </c>
    </row>
    <row r="39" spans="1:15" ht="20.100000000000001" customHeight="1">
      <c r="A39" s="135" t="str">
        <f>Rate!A32</f>
        <v>Sieving Preparation (CBLB) = Pipette preparation (CBLB)</v>
      </c>
      <c r="B39" s="136"/>
      <c r="C39" s="136"/>
      <c r="D39" s="136"/>
      <c r="E39" s="137"/>
      <c r="F39" s="43">
        <f>ROUND(($F$6/100)*Rate!B32,2)</f>
        <v>144.36000000000001</v>
      </c>
      <c r="G39" s="10"/>
      <c r="H39" s="110">
        <v>1</v>
      </c>
      <c r="I39" s="46" t="str">
        <f>IF(AND(G39&gt;0,H39&gt;0),F39*G39*H39,"")</f>
        <v/>
      </c>
      <c r="J39" s="73" t="str">
        <f>IF(AND($G39&gt;0,$H39&gt;0,$F$3=1),IFERROR(ROUND(Rate!$B32*G39*($F$6-$I$6)/100/Rate!$B$5,2),0),"")</f>
        <v/>
      </c>
      <c r="K39" s="73" t="str">
        <f>IF(AND($G39&gt;0,$H39&gt;0,$F$3=1),IFERROR(ROUND(Rate!$B32*G39*$I$6/100/Rate!$B$5,2),0),"")</f>
        <v/>
      </c>
      <c r="L39" s="70"/>
      <c r="M39" s="70">
        <f t="shared" si="1"/>
        <v>0</v>
      </c>
      <c r="N39" s="70">
        <f t="shared" si="2"/>
        <v>0</v>
      </c>
    </row>
    <row r="40" spans="1:15" ht="20.100000000000001" customHeight="1">
      <c r="A40" s="135" t="str">
        <f>Rate!A33</f>
        <v>Sieving weight fraction (Sieving preparation (CBLB) excl.)</v>
      </c>
      <c r="B40" s="136"/>
      <c r="C40" s="136"/>
      <c r="D40" s="136"/>
      <c r="E40" s="137"/>
      <c r="F40" s="43">
        <f>ROUND(($F$6/100)*Rate!B33,2)</f>
        <v>21.01</v>
      </c>
      <c r="G40" s="10"/>
      <c r="H40" s="10"/>
      <c r="I40" s="46" t="str">
        <f t="shared" si="0"/>
        <v/>
      </c>
      <c r="J40" s="73" t="str">
        <f>IF(AND($G40&gt;0,$H40&gt;0,$F$3=1),IFERROR(ROUND(Rate!$B33*G40*($F$6-$I$6)/100/Rate!$B$5,2),0),"")</f>
        <v/>
      </c>
      <c r="K40" s="73" t="str">
        <f>IF(AND($G40&gt;0,$H40&gt;0,$F$3=1),IFERROR(ROUND(Rate!$B33*G40*$I$6/100/Rate!$B$5,2),0),"")</f>
        <v/>
      </c>
      <c r="L40" s="70"/>
      <c r="M40" s="70">
        <f t="shared" si="1"/>
        <v>0</v>
      </c>
      <c r="N40" s="70">
        <f t="shared" si="2"/>
        <v>0</v>
      </c>
    </row>
    <row r="41" spans="1:15" ht="20.100000000000001" customHeight="1">
      <c r="A41" s="135" t="str">
        <f>Rate!A34</f>
        <v>Suction Plate (h=50 until -700cm)</v>
      </c>
      <c r="B41" s="136"/>
      <c r="C41" s="136"/>
      <c r="D41" s="136"/>
      <c r="E41" s="137"/>
      <c r="F41" s="43">
        <f>ROUND(($F$6/100)*Rate!B34,2)</f>
        <v>45.75</v>
      </c>
      <c r="G41" s="10"/>
      <c r="H41" s="10"/>
      <c r="I41" s="46" t="str">
        <f t="shared" si="0"/>
        <v/>
      </c>
      <c r="J41" s="73" t="str">
        <f>IF(AND($G41&gt;0,$H41&gt;0,$F$3=1),IFERROR(ROUND(Rate!$B34*G41*($F$6-$I$6)/100/Rate!$B$5,2),0),"")</f>
        <v/>
      </c>
      <c r="K41" s="73" t="str">
        <f>IF(AND($G41&gt;0,$H41&gt;0,$F$3=1),IFERROR(ROUND(Rate!$B34*G41*$I$6/100/Rate!$B$5,2),0),"")</f>
        <v/>
      </c>
      <c r="L41" s="70"/>
      <c r="M41" s="70">
        <f t="shared" si="1"/>
        <v>0</v>
      </c>
      <c r="N41" s="70">
        <f t="shared" si="2"/>
        <v>0</v>
      </c>
    </row>
    <row r="42" spans="1:15" ht="20.100000000000001" customHeight="1">
      <c r="A42" s="135" t="str">
        <f>Rate!A35</f>
        <v>Water Content or Wetness (Actual Volumetric or Gravimetric Water Content) (T=105 dgr.C) + Dry bulk density</v>
      </c>
      <c r="B42" s="136"/>
      <c r="C42" s="136"/>
      <c r="D42" s="136"/>
      <c r="E42" s="137"/>
      <c r="F42" s="43">
        <f>ROUND(($F$6/100)*Rate!B35,2)</f>
        <v>40</v>
      </c>
      <c r="G42" s="10"/>
      <c r="H42" s="110">
        <v>1</v>
      </c>
      <c r="I42" s="46" t="str">
        <f t="shared" si="0"/>
        <v/>
      </c>
      <c r="J42" s="73" t="str">
        <f>IF(AND($G42&gt;0,$H42&gt;0,$F$3=1),IFERROR(ROUND(Rate!$B35*G42*($F$6-$I$6)/100/Rate!$B$5,2),0),"")</f>
        <v/>
      </c>
      <c r="K42" s="73" t="str">
        <f>IF(AND($G42&gt;0,$H42&gt;0,$F$3=1),IFERROR(ROUND(Rate!$B35*G42*$I$6/100/Rate!$B$5,2),0),"")</f>
        <v/>
      </c>
      <c r="L42" s="70"/>
      <c r="M42" s="70">
        <f t="shared" si="1"/>
        <v>0</v>
      </c>
      <c r="N42" s="70">
        <f t="shared" si="2"/>
        <v>0</v>
      </c>
    </row>
    <row r="43" spans="1:15" ht="20.100000000000001" customHeight="1">
      <c r="A43" s="135" t="str">
        <f>Rate!A36</f>
        <v>Water Repellency: Actual soil condition - Water Drop Penetration Test; ALSO SELECT DRY BULK DENSITY!!</v>
      </c>
      <c r="B43" s="136"/>
      <c r="C43" s="136"/>
      <c r="D43" s="136"/>
      <c r="E43" s="137"/>
      <c r="F43" s="43">
        <f>ROUND(($F$6/100)*Rate!B36,2)</f>
        <v>67.069999999999993</v>
      </c>
      <c r="G43" s="10"/>
      <c r="H43" s="110">
        <v>1</v>
      </c>
      <c r="I43" s="46" t="str">
        <f t="shared" si="0"/>
        <v/>
      </c>
      <c r="J43" s="73" t="str">
        <f>IF(AND($G43&gt;0,$H43&gt;0,$F$3=1),IFERROR(ROUND(Rate!$B36*G43*($F$6-$I$6)/100/Rate!$B$5,2),0),"")</f>
        <v/>
      </c>
      <c r="K43" s="73" t="str">
        <f>IF(AND($G43&gt;0,$H43&gt;0,$F$3=1),IFERROR(ROUND(Rate!$B36*G43*$I$6/100/Rate!$B$5,2),0),"")</f>
        <v/>
      </c>
      <c r="L43" s="70"/>
      <c r="M43" s="70">
        <f t="shared" si="1"/>
        <v>0</v>
      </c>
      <c r="N43" s="70">
        <f t="shared" si="2"/>
        <v>0</v>
      </c>
    </row>
    <row r="44" spans="1:15" ht="20.100000000000001" customHeight="1">
      <c r="A44" s="135" t="str">
        <f>Rate!A37</f>
        <v>Wetting rate</v>
      </c>
      <c r="B44" s="136"/>
      <c r="C44" s="136"/>
      <c r="D44" s="136"/>
      <c r="E44" s="137"/>
      <c r="F44" s="43">
        <f>ROUND(($F$6/100)*Rate!B37,2)</f>
        <v>123.64</v>
      </c>
      <c r="G44" s="10"/>
      <c r="H44" s="110">
        <v>1</v>
      </c>
      <c r="I44" s="46" t="str">
        <f t="shared" si="0"/>
        <v/>
      </c>
      <c r="J44" s="73" t="str">
        <f>IF(AND($G44&gt;0,$H44&gt;0,$F$3=1),IFERROR(ROUND(Rate!$B37*G44*($F$6-$I$6)/100/Rate!$B$5,2),0),"")</f>
        <v/>
      </c>
      <c r="K44" s="73" t="str">
        <f>IF(AND($G44&gt;0,$H44&gt;0,$F$3=1),IFERROR(ROUND(Rate!$B37*G44*$I$6/100/Rate!$B$5,2),0),"")</f>
        <v/>
      </c>
      <c r="L44" s="70"/>
      <c r="M44" s="70">
        <f t="shared" si="1"/>
        <v>0</v>
      </c>
      <c r="N44" s="70">
        <f t="shared" si="2"/>
        <v>0</v>
      </c>
    </row>
    <row r="45" spans="1:15" ht="30" customHeight="1">
      <c r="A45" s="176" t="str">
        <f>Rate!A38</f>
        <v>Complete Curves:</v>
      </c>
      <c r="B45" s="177"/>
      <c r="C45" s="177"/>
      <c r="D45" s="177"/>
      <c r="E45" s="177"/>
      <c r="F45" s="177"/>
      <c r="G45" s="177"/>
      <c r="H45" s="177"/>
      <c r="I45" s="178"/>
      <c r="J45" s="73"/>
      <c r="K45" s="73"/>
      <c r="L45" s="70"/>
      <c r="M45" s="70"/>
      <c r="N45" s="70"/>
    </row>
    <row r="46" spans="1:15" ht="20.100000000000001" customHeight="1">
      <c r="A46" s="135" t="str">
        <f>Rate!A39</f>
        <v>Compression c.q. Uniaxial test (compression and pressure head in time at predefined forces up to 7 bar)</v>
      </c>
      <c r="B46" s="136"/>
      <c r="C46" s="136"/>
      <c r="D46" s="136"/>
      <c r="E46" s="137"/>
      <c r="F46" s="43">
        <f>ROUND(($F$6/100)*Rate!B39,2)</f>
        <v>219.61</v>
      </c>
      <c r="G46" s="10"/>
      <c r="H46" s="110">
        <v>1</v>
      </c>
      <c r="I46" s="46" t="str">
        <f t="shared" ref="I46" si="5">IF(AND(G46&gt;0,H46&gt;0),F46*G46*H46,"")</f>
        <v/>
      </c>
      <c r="J46" s="73" t="str">
        <f>IF(AND($G46&gt;0,$H46&gt;0,$F$3=1),IFERROR(ROUND(Rate!$B39*G46*($F$6-$I$6)/100/Rate!$B$5,2),0),"")</f>
        <v/>
      </c>
      <c r="K46" s="73" t="str">
        <f>IF(AND($G46&gt;0,$H46&gt;0,$F$3=1),IFERROR(ROUND(Rate!$B39*G46*$I$6/100/Rate!$B$5,2),0),"")</f>
        <v/>
      </c>
      <c r="L46" s="70"/>
      <c r="M46" s="70">
        <f t="shared" ref="M46:M56" si="6">IFERROR(ROUND(M$17*I46,2),0)</f>
        <v>0</v>
      </c>
      <c r="N46" s="70">
        <f t="shared" ref="N46:N56" si="7">IFERROR(ROUND(N$17*I46,2),0)</f>
        <v>0</v>
      </c>
    </row>
    <row r="47" spans="1:15" ht="20.100000000000001" customHeight="1">
      <c r="A47" s="135" t="str">
        <f>Rate!A40</f>
        <v>MIR Complete: Dry+Grind+Sieve+Mill+Operation (1 batch = 1 plate = 30 samples (in triplate --&gt; 90 subsamples) + 1 base + 2 ref samples (in duplo &amp; triplo --&gt; 6 subsamples); NB: Bulk lab fee red.</v>
      </c>
      <c r="B47" s="136"/>
      <c r="C47" s="136"/>
      <c r="D47" s="136"/>
      <c r="E47" s="137"/>
      <c r="F47" s="43">
        <f>ROUND(($F$6/100)*Rate!B40,2)</f>
        <v>2810.99</v>
      </c>
      <c r="G47" s="10"/>
      <c r="H47" s="113">
        <f>IF(G47&lt;=1,1,IF(G47&gt;=20,0.25,(20-0.25)/(20-1)-G47*(1-0.25)/(20-1)))</f>
        <v>1</v>
      </c>
      <c r="I47" s="109" t="str">
        <f>IF(AND(G47&gt;0,H47&gt;0),ROUND((($F$6-$I$6)/100)*Rate!B40*G47+($I$6/100)*(Rate!B20*H47+Rate!B21+Rate!B22)*G47,2),"")</f>
        <v/>
      </c>
      <c r="J47" s="73" t="str">
        <f>IF(AND($G47&gt;0,$H47&gt;0,$F$3=1),IFERROR(ROUND(Rate!$B40*G47*($F$6-$I$6)/100/Rate!$B$5,2),0),"")</f>
        <v/>
      </c>
      <c r="K47" s="73" t="str">
        <f>IF(AND($G47&gt;0,$H47&gt;0,$F$3=1),IFERROR(ROUND((Rate!$B20*H47+Rate!B21+Rate!B22)*G47*$I$6/100/Rate!$B$5,2),0),"")</f>
        <v/>
      </c>
      <c r="L47" s="108" t="str">
        <f>IF(G47&gt;1,"bulk reduction factor on lab contribution of Dry_Grind_Sieve = "&amp;ROUND(H47,2),"")</f>
        <v/>
      </c>
      <c r="M47" s="70"/>
      <c r="N47" s="70"/>
      <c r="O47" s="73"/>
    </row>
    <row r="48" spans="1:15" ht="20.100000000000001" customHeight="1">
      <c r="A48" s="135" t="str">
        <f>Rate!A41</f>
        <v>pF curve (h = 3, 10, 30, 60, 100, 300, 1000, 3000, 14000, 1000 000 cm = 5xSB+4xPP+1xAirDry)</v>
      </c>
      <c r="B48" s="136"/>
      <c r="C48" s="136"/>
      <c r="D48" s="136"/>
      <c r="E48" s="137"/>
      <c r="F48" s="43">
        <f>ROUND(($F$6/100)*Rate!B41,2)</f>
        <v>551.44000000000005</v>
      </c>
      <c r="G48" s="10"/>
      <c r="H48" s="110">
        <v>1</v>
      </c>
      <c r="I48" s="46" t="str">
        <f t="shared" ref="I48:I55" si="8">IF(AND(G48&gt;0,H48&gt;0),F48*G48*H48,"")</f>
        <v/>
      </c>
      <c r="J48" s="73" t="str">
        <f>IF(AND($G48&gt;0,$H48&gt;0,$F$3=1),IFERROR(ROUND(Rate!$B41*G48*($F$6-$I$6)/100/Rate!$B$5,2),0),"")</f>
        <v/>
      </c>
      <c r="K48" s="73" t="str">
        <f>IF(AND($G48&gt;0,$H48&gt;0,$F$3=1),IFERROR(ROUND(Rate!$B41*G48*$I$6/100/Rate!$B$5,2),0),"")</f>
        <v/>
      </c>
      <c r="L48" s="70"/>
      <c r="M48" s="70">
        <f t="shared" si="6"/>
        <v>0</v>
      </c>
      <c r="N48" s="70">
        <f t="shared" si="7"/>
        <v>0</v>
      </c>
    </row>
    <row r="49" spans="1:14" ht="20.100000000000001" customHeight="1">
      <c r="A49" s="135" t="str">
        <f>Rate!A42</f>
        <v>Pipette Preparation (CBLB): Break, dry40, sieve &lt;2000u, Remove OM (H2O2), Carbonates (HCl) (Only performed by Lab personnel)</v>
      </c>
      <c r="B49" s="136"/>
      <c r="C49" s="136"/>
      <c r="D49" s="136"/>
      <c r="E49" s="137"/>
      <c r="F49" s="43">
        <f>ROUND(($F$6/100)*Rate!B42,2)</f>
        <v>144.36000000000001</v>
      </c>
      <c r="G49" s="10"/>
      <c r="H49" s="110">
        <v>1</v>
      </c>
      <c r="I49" s="46" t="str">
        <f t="shared" si="8"/>
        <v/>
      </c>
      <c r="J49" s="73" t="str">
        <f>IF(AND($G49&gt;0,$H49&gt;0,$F$3=1),IFERROR(ROUND(Rate!$B42*G49*($F$6-$I$6)/100/Rate!$B$5,2),0),"")</f>
        <v/>
      </c>
      <c r="K49" s="73" t="str">
        <f>IF(AND($G49&gt;0,$H49&gt;0,$F$3=1),IFERROR(ROUND(Rate!$B42*G49*$I$6/100/Rate!$B$5,2),0),"")</f>
        <v/>
      </c>
      <c r="L49" s="70"/>
      <c r="M49" s="70">
        <f t="shared" si="6"/>
        <v>0</v>
      </c>
      <c r="N49" s="70">
        <f t="shared" si="7"/>
        <v>0</v>
      </c>
    </row>
    <row r="50" spans="1:14" ht="20.100000000000001" customHeight="1">
      <c r="A50" s="135" t="str">
        <f>Rate!A43</f>
        <v>Pipette Method fractions &lt;2, &lt;16, &lt;50, &gt;50u + wet sieve 50-63 (=5 frac) (CBLB) (N.B: Preparation excl.) Only performed by lab personnel</v>
      </c>
      <c r="B50" s="136"/>
      <c r="C50" s="136"/>
      <c r="D50" s="136"/>
      <c r="E50" s="137"/>
      <c r="F50" s="43">
        <f>ROUND(($F$6/100)*Rate!B43,2)</f>
        <v>121.98</v>
      </c>
      <c r="G50" s="10"/>
      <c r="H50" s="110">
        <v>1</v>
      </c>
      <c r="I50" s="46" t="str">
        <f t="shared" si="8"/>
        <v/>
      </c>
      <c r="J50" s="73" t="str">
        <f>IF(AND($G50&gt;0,$H50&gt;0,$F$3=1),IFERROR(ROUND(Rate!$B43*G50*($F$6-$I$6)/100/Rate!$B$5,2),0),"")</f>
        <v/>
      </c>
      <c r="K50" s="73" t="str">
        <f>IF(AND($G50&gt;0,$H50&gt;0,$F$3=1),IFERROR(ROUND(Rate!$B43*G50*$I$6/100/Rate!$B$5,2),0),"")</f>
        <v/>
      </c>
      <c r="L50" s="70"/>
      <c r="M50" s="70">
        <f t="shared" si="6"/>
        <v>0</v>
      </c>
      <c r="N50" s="70">
        <f t="shared" si="7"/>
        <v>0</v>
      </c>
    </row>
    <row r="51" spans="1:14" ht="20.100000000000001" customHeight="1">
      <c r="A51" s="135" t="str">
        <f>Rate!A44</f>
        <v>Shrinkage Characteristic curve (h=0 until -10^6cm) 15 points</v>
      </c>
      <c r="B51" s="136"/>
      <c r="C51" s="136"/>
      <c r="D51" s="136"/>
      <c r="E51" s="137"/>
      <c r="F51" s="43">
        <f>ROUND(($F$6/100)*Rate!B44,2)</f>
        <v>463.54</v>
      </c>
      <c r="G51" s="10"/>
      <c r="H51" s="110">
        <v>1</v>
      </c>
      <c r="I51" s="48" t="str">
        <f t="shared" si="8"/>
        <v/>
      </c>
      <c r="J51" s="73" t="str">
        <f>IF(AND($G51&gt;0,$H51&gt;0,$F$3=1),IFERROR(ROUND(Rate!$B44*G51*($F$6-$I$6)/100/Rate!$B$5,2),0),"")</f>
        <v/>
      </c>
      <c r="K51" s="73" t="str">
        <f>IF(AND($G51&gt;0,$H51&gt;0,$F$3=1),IFERROR(ROUND(Rate!$B44*G51*$I$6/100/Rate!$B$5,2),0),"")</f>
        <v/>
      </c>
      <c r="L51" s="70"/>
      <c r="M51" s="70">
        <f t="shared" si="6"/>
        <v>0</v>
      </c>
      <c r="N51" s="70">
        <f t="shared" si="7"/>
        <v>0</v>
      </c>
    </row>
    <row r="52" spans="1:14" ht="20.100000000000001" customHeight="1">
      <c r="A52" s="135" t="str">
        <f>Rate!A45</f>
        <v>Sieve curve weight fractions &lt;63, &lt;105, &lt;150, &lt;210, &lt;420, &lt;2000 (chemical preparation excl.)</v>
      </c>
      <c r="B52" s="136"/>
      <c r="C52" s="136"/>
      <c r="D52" s="136"/>
      <c r="E52" s="137"/>
      <c r="F52" s="43">
        <f>ROUND(($F$6/100)*Rate!B45,2)</f>
        <v>126.06</v>
      </c>
      <c r="G52" s="10"/>
      <c r="H52" s="110">
        <v>1</v>
      </c>
      <c r="I52" s="46" t="str">
        <f t="shared" si="8"/>
        <v/>
      </c>
      <c r="J52" s="73" t="str">
        <f>IF(AND($G52&gt;0,$H52&gt;0,$F$3=1),IFERROR(ROUND(Rate!$B45*G52*($F$6-$I$6)/100/Rate!$B$5,2),0),"")</f>
        <v/>
      </c>
      <c r="K52" s="73" t="str">
        <f>IF(AND($G52&gt;0,$H52&gt;0,$F$3=1),IFERROR(ROUND(Rate!$B45*G52*$I$6/100/Rate!$B$5,2),0),"")</f>
        <v/>
      </c>
      <c r="L52" s="70"/>
      <c r="M52" s="70">
        <f t="shared" si="6"/>
        <v>0</v>
      </c>
      <c r="N52" s="70">
        <f t="shared" si="7"/>
        <v>0</v>
      </c>
    </row>
    <row r="53" spans="1:14" ht="20.100000000000001" customHeight="1">
      <c r="A53" s="135" t="str">
        <f>Rate!A46</f>
        <v>Unsaturated hydraulic conductivity curve + pF curve ( = 5xSB+4xPP+ AirDry+Evap+EvapFilter) (excl MvGfit, excl Ks)</v>
      </c>
      <c r="B53" s="136"/>
      <c r="C53" s="136"/>
      <c r="D53" s="136"/>
      <c r="E53" s="137"/>
      <c r="F53" s="43">
        <f>ROUND(($F$6/100)*Rate!B46,2)</f>
        <v>1625.69</v>
      </c>
      <c r="G53" s="10"/>
      <c r="H53" s="110">
        <v>1</v>
      </c>
      <c r="I53" s="46" t="str">
        <f t="shared" ref="I53" si="9">IF(AND(G53&gt;0,H53&gt;0),F53*G53*H53,"")</f>
        <v/>
      </c>
      <c r="J53" s="73" t="str">
        <f>IF(AND($G53&gt;0,$H53&gt;0,$F$3=1),IFERROR(ROUND(Rate!$B46*G53*($F$6-$I$6)/100/Rate!$B$5,2),0),"")</f>
        <v/>
      </c>
      <c r="K53" s="73" t="str">
        <f>IF(AND($G53&gt;0,$H53&gt;0,$F$3=1),IFERROR(ROUND(Rate!$B46*G53*$I$6/100/Rate!$B$5,2),0),"")</f>
        <v/>
      </c>
      <c r="L53" s="70"/>
      <c r="M53" s="70">
        <f t="shared" si="6"/>
        <v>0</v>
      </c>
      <c r="N53" s="70">
        <f t="shared" si="7"/>
        <v>0</v>
      </c>
    </row>
    <row r="54" spans="1:14" ht="20.100000000000001" customHeight="1">
      <c r="A54" s="135" t="str">
        <f>Rate!A47</f>
        <v>(Un)saturated hydraulic conductivity curve + pF curve ( = 5xSB+4xPP+AirDry+Evap+Evapfilter+Ks+MvGfit)</v>
      </c>
      <c r="B54" s="136"/>
      <c r="C54" s="136"/>
      <c r="D54" s="136"/>
      <c r="E54" s="137"/>
      <c r="F54" s="43">
        <f>ROUND(($F$6/100)*Rate!B47,2)</f>
        <v>2364.3000000000002</v>
      </c>
      <c r="G54" s="10"/>
      <c r="H54" s="110">
        <v>1</v>
      </c>
      <c r="I54" s="46" t="str">
        <f t="shared" si="8"/>
        <v/>
      </c>
      <c r="J54" s="73" t="str">
        <f>IF(AND($G54&gt;0,$H54&gt;0,$F$3=1),IFERROR(ROUND(Rate!$B47*G54*($F$6-$I$6)/100/Rate!$B$5,2),0),"")</f>
        <v/>
      </c>
      <c r="K54" s="73" t="str">
        <f>IF(AND($G54&gt;0,$H54&gt;0,$F$3=1),IFERROR(ROUND(Rate!$B47*G54*$I$6/100/Rate!$B$5,2),0),"")</f>
        <v/>
      </c>
      <c r="L54" s="70"/>
      <c r="M54" s="70">
        <f t="shared" si="6"/>
        <v>0</v>
      </c>
      <c r="N54" s="70">
        <f t="shared" si="7"/>
        <v>0</v>
      </c>
    </row>
    <row r="55" spans="1:14" ht="20.100000000000001" customHeight="1">
      <c r="A55" s="135" t="str">
        <f>Rate!A48</f>
        <v>Water repellency: Critical Moisture Content using WDTP at 10 points; ALSO SELECT RETENTION CURVE (dry bulk density is included there)!!</v>
      </c>
      <c r="B55" s="136"/>
      <c r="C55" s="136"/>
      <c r="D55" s="136"/>
      <c r="E55" s="137"/>
      <c r="F55" s="43">
        <f>ROUND(($F$6/100)*Rate!B48,2)</f>
        <v>670.7</v>
      </c>
      <c r="G55" s="10"/>
      <c r="H55" s="110"/>
      <c r="I55" s="46" t="str">
        <f t="shared" si="8"/>
        <v/>
      </c>
      <c r="J55" s="73" t="str">
        <f>IF(AND($G55&gt;0,$H55&gt;0,$F$3=1),IFERROR(ROUND(Rate!$B48*G55*($F$6-$I$6)/100/Rate!$B$5,2),0),"")</f>
        <v/>
      </c>
      <c r="K55" s="73" t="str">
        <f>IF(AND($G55&gt;0,$H55&gt;0,$F$3=1),IFERROR(ROUND(Rate!$B48*G55*$I$6/100/Rate!$B$5,2),0),"")</f>
        <v/>
      </c>
      <c r="L55" s="70"/>
      <c r="M55" s="70"/>
      <c r="N55" s="70"/>
    </row>
    <row r="56" spans="1:14" ht="20.100000000000001" customHeight="1">
      <c r="A56" s="135" t="str">
        <f>Rate!A49</f>
        <v>BRO complete: 5xSB+4xPP+AirDry+Evap+EvapFilter+Ks+MvGFit+CBLBprep+4xPipette+1xWetSieve+6xDrySieve+LOI</v>
      </c>
      <c r="B56" s="136"/>
      <c r="C56" s="136"/>
      <c r="D56" s="136"/>
      <c r="E56" s="137"/>
      <c r="F56" s="43">
        <f>ROUND(($F$6/100)*Rate!B49,2)</f>
        <v>2613.35</v>
      </c>
      <c r="G56" s="10"/>
      <c r="H56" s="110">
        <v>1</v>
      </c>
      <c r="I56" s="46" t="str">
        <f t="shared" ref="I56" si="10">IF(AND(G56&gt;0,H56&gt;0),F56*G56*H56,"")</f>
        <v/>
      </c>
      <c r="J56" s="73" t="str">
        <f>IF(AND($G56&gt;0,$H56&gt;0,$F$3=1),IFERROR(ROUND(Rate!$B49*G56*($F$6-$I$6)/100/Rate!$B$5,2),0),"")</f>
        <v/>
      </c>
      <c r="K56" s="73" t="str">
        <f>IF(AND($G56&gt;0,$H56&gt;0,$F$3=1),IFERROR(ROUND(Rate!$B49*G56*$I$6/100/Rate!$B$5,2),0),"")</f>
        <v/>
      </c>
      <c r="L56" s="70"/>
      <c r="M56" s="70">
        <f t="shared" si="6"/>
        <v>0</v>
      </c>
      <c r="N56" s="70">
        <f t="shared" si="7"/>
        <v>0</v>
      </c>
    </row>
    <row r="57" spans="1:14" ht="30" customHeight="1">
      <c r="A57" s="170" t="str">
        <f>Rate!A50</f>
        <v>Other:</v>
      </c>
      <c r="B57" s="171"/>
      <c r="C57" s="171"/>
      <c r="D57" s="171"/>
      <c r="E57" s="171"/>
      <c r="F57" s="171"/>
      <c r="G57" s="171"/>
      <c r="H57" s="171"/>
      <c r="I57" s="172"/>
      <c r="J57" s="73"/>
      <c r="K57" s="73"/>
      <c r="L57" s="70"/>
      <c r="M57" s="70"/>
      <c r="N57" s="70"/>
    </row>
    <row r="58" spans="1:14" ht="36.75" customHeight="1">
      <c r="A58" s="173" t="str">
        <f>Rate!A51</f>
        <v>Other Lab experiments expressed per man hour of use. Please describe work under Remarks!</v>
      </c>
      <c r="B58" s="174"/>
      <c r="C58" s="174"/>
      <c r="D58" s="174"/>
      <c r="E58" s="175"/>
      <c r="F58" s="43">
        <f>ROUND(($F$6/100)*Rate!B51,2)</f>
        <v>140.55000000000001</v>
      </c>
      <c r="G58" s="49" t="s">
        <v>53</v>
      </c>
      <c r="H58" s="10"/>
      <c r="I58" s="46" t="str">
        <f>IF(H58&gt;0,F58*H58,"")</f>
        <v/>
      </c>
      <c r="J58" s="73" t="str">
        <f>IF(AND($G58&gt;0,$H58&gt;0,$F$3=1),IFERROR(ROUND(Rate!$B51*G58*($F$6-$I$6)/100/Rate!$B$5,2),0),"")</f>
        <v/>
      </c>
      <c r="K58" s="73" t="str">
        <f>IF(AND($G58&gt;0,$H58&gt;0,$F$3=1),IFERROR(ROUND(Rate!$B51*G58*$I$6/100/Rate!$B$5,2),0),"")</f>
        <v/>
      </c>
      <c r="L58" s="70"/>
      <c r="M58" s="70">
        <f>IFERROR(ROUND(M$17*I58,2),0)</f>
        <v>0</v>
      </c>
      <c r="N58" s="70">
        <f>IFERROR(ROUND(N$17*I58,2),0)</f>
        <v>0</v>
      </c>
    </row>
    <row r="59" spans="1:14" ht="20.100000000000001" customHeight="1">
      <c r="A59" s="170"/>
      <c r="B59" s="171"/>
      <c r="C59" s="171"/>
      <c r="D59" s="171"/>
      <c r="E59" s="171"/>
      <c r="F59" s="171"/>
      <c r="G59" s="171"/>
      <c r="H59" s="171"/>
      <c r="I59" s="172"/>
      <c r="J59" s="73"/>
      <c r="K59" s="73"/>
      <c r="L59" s="70"/>
      <c r="M59" s="70"/>
      <c r="N59" s="70"/>
    </row>
    <row r="60" spans="1:14" ht="36.75" customHeight="1">
      <c r="A60" s="184" t="s">
        <v>43</v>
      </c>
      <c r="B60" s="185"/>
      <c r="C60" s="185"/>
      <c r="D60" s="185"/>
      <c r="E60" s="185"/>
      <c r="F60" s="185"/>
      <c r="G60" s="185"/>
      <c r="H60" s="186"/>
      <c r="I60" s="46">
        <f>Rate!B5/2</f>
        <v>57.625</v>
      </c>
      <c r="J60" s="73" t="str">
        <f>IF(AND($I60&gt;0,$F$3=1),0,"")</f>
        <v/>
      </c>
      <c r="K60" s="73" t="str">
        <f>IF(AND($I60&gt;0,$F$3=1),IFERROR(ROUND($I60/Rate!$B$5,2),0),"")</f>
        <v/>
      </c>
      <c r="L60" s="70"/>
      <c r="M60" s="70">
        <f>IFERROR(ROUND(M$17*I60,2),0)</f>
        <v>4725.25</v>
      </c>
      <c r="N60" s="70">
        <f>IFERROR(ROUND(N$17*I60,2),0)</f>
        <v>1037.25</v>
      </c>
    </row>
    <row r="61" spans="1:14" ht="20.100000000000001" customHeight="1">
      <c r="A61" s="203"/>
      <c r="B61" s="204"/>
      <c r="C61" s="204"/>
      <c r="D61" s="204"/>
      <c r="E61" s="204"/>
      <c r="F61" s="191" t="s">
        <v>8</v>
      </c>
      <c r="G61" s="192"/>
      <c r="H61" s="193"/>
      <c r="I61" s="50">
        <f>SUM(I19:I60)</f>
        <v>57.625</v>
      </c>
      <c r="J61" s="73" t="str">
        <f>IF(AND($I61&gt;0,$F$3=1),SUM(J19:J60),"")</f>
        <v/>
      </c>
      <c r="K61" s="73" t="str">
        <f>IF(AND($I61&gt;0,$F$3=1),SUM(K19:K60),"")</f>
        <v/>
      </c>
      <c r="L61" s="70"/>
      <c r="M61" s="70">
        <f>IFERROR(ROUND(M$17*I61,2),0)</f>
        <v>4725.25</v>
      </c>
      <c r="N61" s="70">
        <f>IFERROR(ROUND(N$17*I61,2),0)</f>
        <v>1037.25</v>
      </c>
    </row>
    <row r="62" spans="1:14" ht="57" customHeight="1" thickBot="1">
      <c r="A62" s="51" t="s">
        <v>24</v>
      </c>
      <c r="B62" s="194"/>
      <c r="C62" s="195"/>
      <c r="D62" s="195"/>
      <c r="E62" s="195"/>
      <c r="F62" s="195"/>
      <c r="G62" s="195"/>
      <c r="H62" s="195"/>
      <c r="I62" s="196"/>
    </row>
    <row r="63" spans="1:14" ht="57.75" customHeight="1">
      <c r="A63" s="205" t="s">
        <v>57</v>
      </c>
      <c r="B63" s="200"/>
      <c r="C63" s="197" t="s">
        <v>56</v>
      </c>
      <c r="D63" s="198"/>
      <c r="E63" s="199"/>
      <c r="F63" s="200" t="s">
        <v>1</v>
      </c>
      <c r="G63" s="200"/>
      <c r="H63" s="200"/>
      <c r="I63" s="201"/>
    </row>
    <row r="64" spans="1:14" ht="20.100000000000001" customHeight="1">
      <c r="A64" s="52" t="s">
        <v>21</v>
      </c>
      <c r="B64" s="14" t="s">
        <v>0</v>
      </c>
      <c r="C64" s="67" t="s">
        <v>21</v>
      </c>
      <c r="D64" s="189"/>
      <c r="E64" s="190"/>
      <c r="F64" s="202" t="s">
        <v>21</v>
      </c>
      <c r="G64" s="202"/>
      <c r="H64" s="180"/>
      <c r="I64" s="181"/>
    </row>
    <row r="65" spans="1:9" ht="20.100000000000001" customHeight="1">
      <c r="A65" s="52" t="s">
        <v>22</v>
      </c>
      <c r="B65" s="54"/>
      <c r="C65" s="67" t="s">
        <v>22</v>
      </c>
      <c r="D65" s="189"/>
      <c r="E65" s="190"/>
      <c r="F65" s="202" t="s">
        <v>22</v>
      </c>
      <c r="G65" s="202"/>
      <c r="H65" s="180"/>
      <c r="I65" s="181"/>
    </row>
    <row r="66" spans="1:9" ht="20.100000000000001" customHeight="1" thickBot="1">
      <c r="A66" s="53" t="s">
        <v>23</v>
      </c>
      <c r="B66" s="63"/>
      <c r="C66" s="68" t="s">
        <v>23</v>
      </c>
      <c r="D66" s="187"/>
      <c r="E66" s="188"/>
      <c r="F66" s="179" t="s">
        <v>23</v>
      </c>
      <c r="G66" s="179"/>
      <c r="H66" s="182"/>
      <c r="I66" s="183"/>
    </row>
  </sheetData>
  <sheetProtection sheet="1" selectLockedCells="1"/>
  <mergeCells count="90">
    <mergeCell ref="A2:I2"/>
    <mergeCell ref="G6:H6"/>
    <mergeCell ref="D13:E13"/>
    <mergeCell ref="F8:I8"/>
    <mergeCell ref="F9:I9"/>
    <mergeCell ref="F10:I10"/>
    <mergeCell ref="F11:I11"/>
    <mergeCell ref="F12:I12"/>
    <mergeCell ref="F13:I13"/>
    <mergeCell ref="D7:I7"/>
    <mergeCell ref="B12:C12"/>
    <mergeCell ref="B11:C11"/>
    <mergeCell ref="B10:C10"/>
    <mergeCell ref="F66:G66"/>
    <mergeCell ref="H64:I64"/>
    <mergeCell ref="H65:I65"/>
    <mergeCell ref="H66:I66"/>
    <mergeCell ref="A60:H60"/>
    <mergeCell ref="D66:E66"/>
    <mergeCell ref="D65:E65"/>
    <mergeCell ref="F61:H61"/>
    <mergeCell ref="B62:I62"/>
    <mergeCell ref="C63:E63"/>
    <mergeCell ref="F63:I63"/>
    <mergeCell ref="F64:G64"/>
    <mergeCell ref="F65:G65"/>
    <mergeCell ref="A61:E61"/>
    <mergeCell ref="A63:B63"/>
    <mergeCell ref="D64:E64"/>
    <mergeCell ref="A57:I57"/>
    <mergeCell ref="A59:I59"/>
    <mergeCell ref="A58:E58"/>
    <mergeCell ref="A35:E35"/>
    <mergeCell ref="A34:E34"/>
    <mergeCell ref="A36:E36"/>
    <mergeCell ref="A56:E56"/>
    <mergeCell ref="A41:E41"/>
    <mergeCell ref="A40:E40"/>
    <mergeCell ref="A39:E39"/>
    <mergeCell ref="A38:E38"/>
    <mergeCell ref="A47:E47"/>
    <mergeCell ref="A45:I45"/>
    <mergeCell ref="A42:E42"/>
    <mergeCell ref="A37:E37"/>
    <mergeCell ref="A43:E43"/>
    <mergeCell ref="A3:B3"/>
    <mergeCell ref="A5:B5"/>
    <mergeCell ref="D11:E11"/>
    <mergeCell ref="B8:C8"/>
    <mergeCell ref="D8:E8"/>
    <mergeCell ref="A4:B4"/>
    <mergeCell ref="D10:E10"/>
    <mergeCell ref="E4:I5"/>
    <mergeCell ref="F3:I3"/>
    <mergeCell ref="B9:C9"/>
    <mergeCell ref="D9:E9"/>
    <mergeCell ref="A14:E17"/>
    <mergeCell ref="A54:E54"/>
    <mergeCell ref="A53:E53"/>
    <mergeCell ref="A52:E52"/>
    <mergeCell ref="A51:E51"/>
    <mergeCell ref="A50:E50"/>
    <mergeCell ref="A49:E49"/>
    <mergeCell ref="A48:E48"/>
    <mergeCell ref="A46:E46"/>
    <mergeCell ref="A23:E23"/>
    <mergeCell ref="A32:E32"/>
    <mergeCell ref="A22:E22"/>
    <mergeCell ref="A21:E21"/>
    <mergeCell ref="A33:E33"/>
    <mergeCell ref="A55:E55"/>
    <mergeCell ref="D12:E12"/>
    <mergeCell ref="A20:E20"/>
    <mergeCell ref="A19:E19"/>
    <mergeCell ref="D1:I1"/>
    <mergeCell ref="A44:E44"/>
    <mergeCell ref="J14:J16"/>
    <mergeCell ref="K14:K16"/>
    <mergeCell ref="A28:E28"/>
    <mergeCell ref="A29:E29"/>
    <mergeCell ref="I14:I17"/>
    <mergeCell ref="F14:F17"/>
    <mergeCell ref="F18:I18"/>
    <mergeCell ref="G14:H16"/>
    <mergeCell ref="A30:E30"/>
    <mergeCell ref="A26:E26"/>
    <mergeCell ref="A25:E25"/>
    <mergeCell ref="A24:E24"/>
    <mergeCell ref="A27:E27"/>
    <mergeCell ref="A31:E31"/>
  </mergeCells>
  <conditionalFormatting sqref="D13">
    <cfRule type="cellIs" dxfId="6" priority="8" operator="equal">
      <formula>FALSE</formula>
    </cfRule>
  </conditionalFormatting>
  <conditionalFormatting sqref="E11">
    <cfRule type="containsText" dxfId="5" priority="1" operator="containsText" text="Please indicate Assistance Need under Remarks">
      <formula>NOT(ISERROR(SEARCH("Please indicate Assistance Need under Remarks",E11)))</formula>
    </cfRule>
    <cfRule type="containsText" dxfId="4" priority="2" operator="containsText" text="Please indicate Assistance Need under Remarks">
      <formula>NOT(ISERROR(SEARCH("Please indicate Assistance Need under Remarks",E11)))</formula>
    </cfRule>
    <cfRule type="containsText" dxfId="3" priority="3" operator="containsText" text="&lt; -- Not a valid entry">
      <formula>NOT(ISERROR(SEARCH("&lt; -- Not a valid entry",E11)))</formula>
    </cfRule>
    <cfRule type="cellIs" dxfId="2" priority="7" operator="equal">
      <formula>"Indicate Assistance Need under Remarks"</formula>
    </cfRule>
  </conditionalFormatting>
  <conditionalFormatting sqref="E10">
    <cfRule type="containsText" dxfId="1" priority="5" operator="containsText" text="&lt; -- Not a valid entry">
      <formula>NOT(ISERROR(SEARCH("&lt; -- Not a valid entry",E10)))</formula>
    </cfRule>
    <cfRule type="cellIs" dxfId="0" priority="6" operator="equal">
      <formula>"&lt;-- Not a valid entry"</formula>
    </cfRule>
  </conditionalFormatting>
  <pageMargins left="0.70866141732283472" right="0.70866141732283472" top="0.74803149606299213" bottom="0.74803149606299213" header="0.31496062992125984" footer="0.31496062992125984"/>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5</xdr:col>
                    <xdr:colOff>19050</xdr:colOff>
                    <xdr:row>2</xdr:row>
                    <xdr:rowOff>0</xdr:rowOff>
                  </from>
                  <to>
                    <xdr:col>8</xdr:col>
                    <xdr:colOff>1019175</xdr:colOff>
                    <xdr:row>2</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7"/>
    <pageSetUpPr fitToPage="1"/>
  </sheetPr>
  <dimension ref="A1:R97"/>
  <sheetViews>
    <sheetView zoomScale="87" zoomScaleNormal="87" workbookViewId="0">
      <pane ySplit="10" topLeftCell="A11" activePane="bottomLeft" state="frozen"/>
      <selection pane="bottomLeft" activeCell="A2" sqref="A2:B2"/>
    </sheetView>
  </sheetViews>
  <sheetFormatPr defaultRowHeight="12"/>
  <cols>
    <col min="1" max="1" width="142.7109375" style="3" customWidth="1"/>
    <col min="2" max="2" width="24.5703125" style="3" customWidth="1"/>
    <col min="3" max="3" width="6.7109375" style="3" bestFit="1" customWidth="1"/>
    <col min="4" max="4" width="7.85546875" style="64" bestFit="1" customWidth="1"/>
    <col min="5" max="10" width="9.140625" style="3" customWidth="1"/>
    <col min="11" max="11" width="136.7109375" style="3" customWidth="1"/>
    <col min="12" max="16384" width="9.140625" style="3"/>
  </cols>
  <sheetData>
    <row r="1" spans="1:8" ht="69" customHeight="1">
      <c r="A1" s="214" t="s">
        <v>141</v>
      </c>
      <c r="B1" s="214"/>
    </row>
    <row r="2" spans="1:8" ht="34.5">
      <c r="A2" s="214" t="s">
        <v>77</v>
      </c>
      <c r="B2" s="214"/>
    </row>
    <row r="3" spans="1:8">
      <c r="A3" s="15" t="s">
        <v>140</v>
      </c>
      <c r="D3" s="8"/>
    </row>
    <row r="4" spans="1:8">
      <c r="A4" s="15"/>
      <c r="B4" s="64">
        <v>2024</v>
      </c>
      <c r="C4" s="64">
        <v>2024</v>
      </c>
    </row>
    <row r="5" spans="1:8">
      <c r="A5" s="35" t="s">
        <v>78</v>
      </c>
      <c r="B5" s="100">
        <f>AVERAGE(C5:C8)</f>
        <v>115.25</v>
      </c>
      <c r="C5" s="101">
        <v>118</v>
      </c>
      <c r="D5" s="8" t="s">
        <v>83</v>
      </c>
      <c r="E5" s="20"/>
    </row>
    <row r="6" spans="1:8">
      <c r="A6" s="35" t="s">
        <v>80</v>
      </c>
      <c r="B6" s="16"/>
      <c r="C6" s="102">
        <v>145</v>
      </c>
      <c r="D6" s="8" t="s">
        <v>84</v>
      </c>
      <c r="E6" s="20"/>
    </row>
    <row r="7" spans="1:8">
      <c r="A7" s="35"/>
      <c r="B7" s="35"/>
      <c r="C7" s="102">
        <v>87</v>
      </c>
      <c r="D7" s="8" t="s">
        <v>85</v>
      </c>
      <c r="E7" s="20"/>
    </row>
    <row r="8" spans="1:8">
      <c r="A8" s="62"/>
      <c r="B8" s="62"/>
      <c r="C8" s="102">
        <v>111</v>
      </c>
      <c r="D8" s="8" t="s">
        <v>86</v>
      </c>
      <c r="E8" s="20"/>
      <c r="H8" s="57"/>
    </row>
    <row r="9" spans="1:8" ht="44.25" customHeight="1" thickBot="1">
      <c r="A9" s="16"/>
      <c r="B9" s="17"/>
      <c r="C9" s="18"/>
      <c r="D9" s="19"/>
      <c r="E9" s="20"/>
    </row>
    <row r="10" spans="1:8" ht="80.25" customHeight="1" thickBot="1">
      <c r="A10" s="29" t="s">
        <v>35</v>
      </c>
      <c r="B10" s="30" t="s">
        <v>48</v>
      </c>
      <c r="D10" s="8" t="s">
        <v>87</v>
      </c>
    </row>
    <row r="11" spans="1:8" ht="30" customHeight="1">
      <c r="A11" s="21" t="s">
        <v>60</v>
      </c>
      <c r="B11" s="22"/>
      <c r="E11" s="56"/>
    </row>
    <row r="12" spans="1:8" s="9" customFormat="1" ht="15" customHeight="1">
      <c r="A12" s="23" t="s">
        <v>47</v>
      </c>
      <c r="B12" s="28">
        <v>100.45656179775281</v>
      </c>
      <c r="C12" s="5"/>
      <c r="D12" s="6">
        <f>0.82*B12/$B$5</f>
        <v>0.71474516853932579</v>
      </c>
      <c r="E12" s="3"/>
      <c r="F12" s="5"/>
      <c r="G12" s="3"/>
    </row>
    <row r="13" spans="1:8" s="9" customFormat="1" ht="15" customHeight="1">
      <c r="A13" s="23" t="s">
        <v>54</v>
      </c>
      <c r="B13" s="28">
        <v>25.971393258426968</v>
      </c>
      <c r="C13" s="5"/>
      <c r="D13" s="6">
        <f t="shared" ref="D13:D51" si="0">0.82*B13/$B$5</f>
        <v>0.18478561797752807</v>
      </c>
      <c r="E13" s="3"/>
      <c r="F13" s="5"/>
      <c r="G13" s="3"/>
    </row>
    <row r="14" spans="1:8" s="9" customFormat="1" ht="15" customHeight="1">
      <c r="A14" s="24" t="s">
        <v>2</v>
      </c>
      <c r="B14" s="28">
        <v>692.41164044943821</v>
      </c>
      <c r="C14" s="5"/>
      <c r="D14" s="6">
        <f t="shared" si="0"/>
        <v>4.9264862921348316</v>
      </c>
      <c r="E14" s="3"/>
      <c r="F14" s="5"/>
      <c r="G14" s="3"/>
    </row>
    <row r="15" spans="1:8" s="9" customFormat="1" ht="15" customHeight="1">
      <c r="A15" s="25" t="s">
        <v>25</v>
      </c>
      <c r="B15" s="28">
        <v>89.029977528089873</v>
      </c>
      <c r="C15" s="5"/>
      <c r="D15" s="6">
        <f t="shared" si="0"/>
        <v>0.63344539325842686</v>
      </c>
      <c r="E15" s="3"/>
      <c r="F15" s="5"/>
      <c r="G15" s="3"/>
    </row>
    <row r="16" spans="1:8" s="9" customFormat="1" ht="15" customHeight="1">
      <c r="A16" s="25" t="s">
        <v>5</v>
      </c>
      <c r="B16" s="28">
        <v>25.971393258426968</v>
      </c>
      <c r="C16" s="5"/>
      <c r="D16" s="6">
        <f t="shared" si="0"/>
        <v>0.18478561797752807</v>
      </c>
      <c r="E16" s="3"/>
      <c r="F16" s="5"/>
      <c r="G16" s="3"/>
    </row>
    <row r="17" spans="1:7" s="9" customFormat="1" ht="15" customHeight="1">
      <c r="A17" s="25" t="s">
        <v>73</v>
      </c>
      <c r="B17" s="28">
        <v>866.07914606741565</v>
      </c>
      <c r="C17" s="5"/>
      <c r="D17" s="6">
        <f t="shared" si="0"/>
        <v>6.1621249438202232</v>
      </c>
      <c r="E17" s="3"/>
      <c r="F17" s="5"/>
      <c r="G17" s="3"/>
    </row>
    <row r="18" spans="1:7" s="9" customFormat="1" ht="15" customHeight="1">
      <c r="A18" s="25" t="s">
        <v>74</v>
      </c>
      <c r="B18" s="28">
        <v>416.33997752808989</v>
      </c>
      <c r="C18" s="5"/>
      <c r="D18" s="6">
        <f t="shared" si="0"/>
        <v>2.962245393258427</v>
      </c>
      <c r="E18" s="3"/>
      <c r="F18" s="5"/>
      <c r="G18" s="3"/>
    </row>
    <row r="19" spans="1:7" s="9" customFormat="1" ht="15" customHeight="1">
      <c r="A19" s="23" t="s">
        <v>64</v>
      </c>
      <c r="B19" s="28">
        <v>19.86961797752809</v>
      </c>
      <c r="C19" s="5"/>
      <c r="D19" s="6">
        <f t="shared" si="0"/>
        <v>0.14137168539325842</v>
      </c>
      <c r="E19" s="3"/>
      <c r="F19" s="5"/>
      <c r="G19" s="3"/>
    </row>
    <row r="20" spans="1:7" s="9" customFormat="1" ht="15" customHeight="1">
      <c r="A20" s="23" t="s">
        <v>138</v>
      </c>
      <c r="B20" s="28">
        <v>1897.41</v>
      </c>
      <c r="C20" s="5"/>
      <c r="D20" s="6">
        <f t="shared" si="0"/>
        <v>13.500010412147505</v>
      </c>
      <c r="E20" s="3"/>
      <c r="F20" s="5"/>
      <c r="G20" s="3"/>
    </row>
    <row r="21" spans="1:7" s="9" customFormat="1" ht="15" customHeight="1">
      <c r="A21" s="23" t="s">
        <v>135</v>
      </c>
      <c r="B21" s="28">
        <v>562.20000000000005</v>
      </c>
      <c r="C21" s="5"/>
      <c r="D21" s="6">
        <f t="shared" si="0"/>
        <v>4.0000347071583517</v>
      </c>
      <c r="E21" s="3"/>
      <c r="F21" s="5"/>
      <c r="G21" s="3"/>
    </row>
    <row r="22" spans="1:7" s="9" customFormat="1" ht="15" customHeight="1">
      <c r="A22" s="23" t="s">
        <v>136</v>
      </c>
      <c r="B22" s="28">
        <v>351.38</v>
      </c>
      <c r="C22" s="5"/>
      <c r="D22" s="6">
        <f t="shared" si="0"/>
        <v>2.5000572668112797</v>
      </c>
      <c r="E22" s="3"/>
      <c r="F22" s="5"/>
      <c r="G22" s="3"/>
    </row>
    <row r="23" spans="1:7" s="9" customFormat="1" ht="15" customHeight="1">
      <c r="A23" s="25" t="s">
        <v>30</v>
      </c>
      <c r="B23" s="28">
        <v>134.76739325842695</v>
      </c>
      <c r="C23" s="5"/>
      <c r="D23" s="6">
        <f t="shared" si="0"/>
        <v>0.9588656179775279</v>
      </c>
      <c r="E23" s="3"/>
      <c r="F23" s="5"/>
      <c r="G23" s="3"/>
    </row>
    <row r="24" spans="1:7" s="9" customFormat="1" ht="15" customHeight="1">
      <c r="A24" s="25" t="s">
        <v>68</v>
      </c>
      <c r="B24" s="28">
        <v>144.3603370786517</v>
      </c>
      <c r="C24" s="5"/>
      <c r="D24" s="6">
        <f t="shared" si="0"/>
        <v>1.0271191011235954</v>
      </c>
      <c r="E24" s="3"/>
      <c r="F24" s="5"/>
      <c r="G24" s="3"/>
    </row>
    <row r="25" spans="1:7" s="9" customFormat="1" ht="15" customHeight="1">
      <c r="A25" s="25" t="s">
        <v>65</v>
      </c>
      <c r="B25" s="28">
        <v>24.396741573033712</v>
      </c>
      <c r="C25" s="5"/>
      <c r="D25" s="6">
        <f t="shared" si="0"/>
        <v>0.17358202247191012</v>
      </c>
      <c r="E25" s="3"/>
      <c r="F25" s="5"/>
      <c r="G25" s="3"/>
    </row>
    <row r="26" spans="1:7" s="9" customFormat="1" ht="15" customHeight="1">
      <c r="A26" s="25" t="s">
        <v>44</v>
      </c>
      <c r="B26" s="28">
        <v>53.17557303370787</v>
      </c>
      <c r="C26" s="5"/>
      <c r="D26" s="6">
        <f t="shared" si="0"/>
        <v>0.37834247191011239</v>
      </c>
      <c r="E26" s="3"/>
      <c r="F26" s="5"/>
      <c r="G26" s="3"/>
    </row>
    <row r="27" spans="1:7" s="9" customFormat="1" ht="15" customHeight="1">
      <c r="A27" s="23" t="s">
        <v>26</v>
      </c>
      <c r="B27" s="28">
        <v>98.902629213483138</v>
      </c>
      <c r="C27" s="5"/>
      <c r="D27" s="6">
        <f t="shared" si="0"/>
        <v>0.70368898876404484</v>
      </c>
      <c r="E27" s="3"/>
      <c r="F27" s="5"/>
      <c r="G27" s="3"/>
    </row>
    <row r="28" spans="1:7" s="9" customFormat="1" ht="15" customHeight="1">
      <c r="A28" s="23" t="s">
        <v>27</v>
      </c>
      <c r="B28" s="28">
        <v>25.971393258426968</v>
      </c>
      <c r="C28" s="5"/>
      <c r="D28" s="6">
        <f t="shared" si="0"/>
        <v>0.18478561797752807</v>
      </c>
      <c r="E28" s="3"/>
      <c r="F28" s="5"/>
      <c r="G28" s="3"/>
    </row>
    <row r="29" spans="1:7" s="9" customFormat="1" ht="15" customHeight="1">
      <c r="A29" s="23" t="s">
        <v>3</v>
      </c>
      <c r="B29" s="28">
        <v>367.22534831460672</v>
      </c>
      <c r="C29" s="5"/>
      <c r="D29" s="6">
        <f t="shared" si="0"/>
        <v>2.6127964044943814</v>
      </c>
      <c r="E29" s="3"/>
      <c r="F29" s="5"/>
      <c r="G29" s="3"/>
    </row>
    <row r="30" spans="1:7" s="9" customFormat="1" ht="15" customHeight="1">
      <c r="A30" s="23" t="s">
        <v>4</v>
      </c>
      <c r="B30" s="28">
        <v>530.44006741573025</v>
      </c>
      <c r="C30" s="5"/>
      <c r="D30" s="6">
        <f t="shared" si="0"/>
        <v>3.7740638202247183</v>
      </c>
      <c r="E30" s="3"/>
      <c r="F30" s="5"/>
      <c r="G30" s="3"/>
    </row>
    <row r="31" spans="1:7" s="9" customFormat="1" ht="15" customHeight="1">
      <c r="A31" s="25" t="s">
        <v>28</v>
      </c>
      <c r="B31" s="28">
        <v>30.902539325842696</v>
      </c>
      <c r="C31" s="5"/>
      <c r="D31" s="6">
        <f t="shared" si="0"/>
        <v>0.2198705617977528</v>
      </c>
      <c r="E31" s="3"/>
      <c r="F31" s="5"/>
      <c r="G31" s="3"/>
    </row>
    <row r="32" spans="1:7" s="9" customFormat="1" ht="15" customHeight="1">
      <c r="A32" s="25" t="s">
        <v>70</v>
      </c>
      <c r="B32" s="28">
        <v>144.3603370786517</v>
      </c>
      <c r="C32" s="5"/>
      <c r="D32" s="6">
        <f t="shared" si="0"/>
        <v>1.0271191011235954</v>
      </c>
      <c r="E32" s="3"/>
      <c r="F32" s="5"/>
      <c r="G32" s="3"/>
    </row>
    <row r="33" spans="1:18" s="9" customFormat="1" ht="15" customHeight="1">
      <c r="A33" s="25" t="s">
        <v>71</v>
      </c>
      <c r="B33" s="28">
        <v>21.009168539325842</v>
      </c>
      <c r="C33" s="5"/>
      <c r="D33" s="6">
        <f t="shared" si="0"/>
        <v>0.14947955056179774</v>
      </c>
      <c r="E33" s="3"/>
      <c r="F33" s="5"/>
      <c r="G33" s="3"/>
    </row>
    <row r="34" spans="1:18" s="9" customFormat="1" ht="15" customHeight="1">
      <c r="A34" s="25" t="s">
        <v>31</v>
      </c>
      <c r="B34" s="28">
        <v>45.747775280898871</v>
      </c>
      <c r="C34" s="5"/>
      <c r="D34" s="6">
        <f t="shared" si="0"/>
        <v>0.32549393258426962</v>
      </c>
      <c r="E34" s="3"/>
      <c r="F34" s="5"/>
      <c r="G34" s="3"/>
    </row>
    <row r="35" spans="1:18" s="9" customFormat="1" ht="15" customHeight="1">
      <c r="A35" s="25" t="s">
        <v>124</v>
      </c>
      <c r="B35" s="28">
        <v>40</v>
      </c>
      <c r="C35" s="5"/>
      <c r="D35" s="6">
        <f t="shared" si="0"/>
        <v>0.28459869848156177</v>
      </c>
      <c r="E35" s="3"/>
      <c r="F35" s="5"/>
      <c r="G35" s="3"/>
    </row>
    <row r="36" spans="1:18" s="9" customFormat="1" ht="15" customHeight="1">
      <c r="A36" s="23" t="s">
        <v>125</v>
      </c>
      <c r="B36" s="28">
        <v>67.069999999999993</v>
      </c>
      <c r="C36" s="5"/>
      <c r="D36" s="6">
        <f t="shared" si="0"/>
        <v>0.4772008676789587</v>
      </c>
      <c r="E36" s="3"/>
      <c r="F36" s="5"/>
      <c r="G36" s="3"/>
    </row>
    <row r="37" spans="1:18" s="9" customFormat="1" ht="15" customHeight="1">
      <c r="A37" s="23" t="s">
        <v>6</v>
      </c>
      <c r="B37" s="28">
        <v>123.64123595505617</v>
      </c>
      <c r="C37" s="5"/>
      <c r="D37" s="6">
        <f t="shared" si="0"/>
        <v>0.87970337078651673</v>
      </c>
      <c r="E37" s="3"/>
      <c r="F37" s="5"/>
      <c r="G37" s="3"/>
    </row>
    <row r="38" spans="1:18" s="9" customFormat="1" ht="30" customHeight="1">
      <c r="A38" s="26" t="s">
        <v>32</v>
      </c>
      <c r="B38" s="27"/>
      <c r="C38" s="5"/>
      <c r="D38" s="6"/>
      <c r="E38" s="3"/>
      <c r="F38" s="5"/>
      <c r="G38" s="3"/>
    </row>
    <row r="39" spans="1:18" s="9" customFormat="1" ht="15" customHeight="1">
      <c r="A39" s="23" t="s">
        <v>46</v>
      </c>
      <c r="B39" s="28">
        <v>219.61</v>
      </c>
      <c r="C39" s="5"/>
      <c r="D39" s="6">
        <f t="shared" si="0"/>
        <v>1.5625180043383946</v>
      </c>
      <c r="E39" s="3"/>
      <c r="F39" s="5"/>
      <c r="G39" s="3"/>
    </row>
    <row r="40" spans="1:18" s="9" customFormat="1" ht="15" customHeight="1">
      <c r="A40" s="23" t="s">
        <v>137</v>
      </c>
      <c r="B40" s="55">
        <f>B20+B21+B22</f>
        <v>2810.9900000000002</v>
      </c>
      <c r="C40" s="5"/>
      <c r="D40" s="6">
        <f t="shared" si="0"/>
        <v>20.000102386117138</v>
      </c>
      <c r="E40" s="3"/>
      <c r="F40" s="5"/>
      <c r="G40" s="3"/>
    </row>
    <row r="41" spans="1:18" s="9" customFormat="1" ht="15" customHeight="1">
      <c r="A41" s="23" t="s">
        <v>61</v>
      </c>
      <c r="B41" s="55">
        <f>5*B28+4*B27+B13</f>
        <v>551.43887640449429</v>
      </c>
      <c r="C41" s="5"/>
      <c r="D41" s="6">
        <f t="shared" si="0"/>
        <v>3.9234696629213475</v>
      </c>
      <c r="E41" s="3"/>
      <c r="F41" s="5"/>
      <c r="G41" s="3"/>
    </row>
    <row r="42" spans="1:18" s="9" customFormat="1" ht="15" customHeight="1">
      <c r="A42" s="25" t="str">
        <f>A24</f>
        <v>Pipette Preparation (CBLB): Break, dry40, sieve &lt;2000u, Remove OM (H2O2), Carbonates (HCl) (Only performed by Lab personnel)</v>
      </c>
      <c r="B42" s="55">
        <f>B24</f>
        <v>144.3603370786517</v>
      </c>
      <c r="C42" s="5"/>
      <c r="D42" s="6">
        <f t="shared" si="0"/>
        <v>1.0271191011235954</v>
      </c>
      <c r="E42" s="3"/>
      <c r="F42" s="216" t="s">
        <v>139</v>
      </c>
      <c r="G42" s="216"/>
      <c r="H42" s="216"/>
      <c r="I42" s="216"/>
      <c r="J42" s="216"/>
      <c r="K42" s="216"/>
      <c r="L42" s="216"/>
      <c r="M42" s="216"/>
      <c r="N42" s="216"/>
      <c r="O42" s="216"/>
      <c r="P42" s="216"/>
      <c r="Q42" s="216"/>
      <c r="R42" s="216"/>
    </row>
    <row r="43" spans="1:18" s="9" customFormat="1" ht="15" customHeight="1">
      <c r="A43" s="25" t="s">
        <v>69</v>
      </c>
      <c r="B43" s="55">
        <f>5*B25</f>
        <v>121.98370786516855</v>
      </c>
      <c r="C43" s="5"/>
      <c r="D43" s="6">
        <f t="shared" si="0"/>
        <v>0.86791011235955062</v>
      </c>
      <c r="E43" s="3"/>
      <c r="F43" s="216"/>
      <c r="G43" s="216"/>
      <c r="H43" s="216"/>
      <c r="I43" s="216"/>
      <c r="J43" s="216"/>
      <c r="K43" s="216"/>
      <c r="L43" s="216"/>
      <c r="M43" s="216"/>
      <c r="N43" s="216"/>
      <c r="O43" s="216"/>
      <c r="P43" s="216"/>
      <c r="Q43" s="216"/>
      <c r="R43" s="216"/>
    </row>
    <row r="44" spans="1:18" s="9" customFormat="1" ht="15" customHeight="1">
      <c r="A44" s="25" t="s">
        <v>33</v>
      </c>
      <c r="B44" s="55">
        <f>15*B31</f>
        <v>463.53808988764047</v>
      </c>
      <c r="C44" s="5"/>
      <c r="D44" s="6">
        <f t="shared" si="0"/>
        <v>3.2980584269662923</v>
      </c>
      <c r="E44" s="3"/>
      <c r="F44" s="216"/>
      <c r="G44" s="216"/>
      <c r="H44" s="216"/>
      <c r="I44" s="216"/>
      <c r="J44" s="216"/>
      <c r="K44" s="216"/>
      <c r="L44" s="216"/>
      <c r="M44" s="216"/>
      <c r="N44" s="216"/>
      <c r="O44" s="216"/>
      <c r="P44" s="216"/>
      <c r="Q44" s="216"/>
      <c r="R44" s="216"/>
    </row>
    <row r="45" spans="1:18" s="9" customFormat="1" ht="15" customHeight="1">
      <c r="A45" s="25" t="s">
        <v>45</v>
      </c>
      <c r="B45" s="55">
        <f>6*B33</f>
        <v>126.05501123595505</v>
      </c>
      <c r="C45" s="5"/>
      <c r="D45" s="6">
        <f t="shared" si="0"/>
        <v>0.89687730337078642</v>
      </c>
      <c r="E45" s="3"/>
      <c r="F45" s="216"/>
      <c r="G45" s="216"/>
      <c r="H45" s="216"/>
      <c r="I45" s="216"/>
      <c r="J45" s="216"/>
      <c r="K45" s="216"/>
      <c r="L45" s="216"/>
      <c r="M45" s="216"/>
      <c r="N45" s="216"/>
      <c r="O45" s="216"/>
      <c r="P45" s="216"/>
      <c r="Q45" s="216"/>
      <c r="R45" s="216"/>
    </row>
    <row r="46" spans="1:18" s="9" customFormat="1" ht="15" customHeight="1">
      <c r="A46" s="23" t="s">
        <v>72</v>
      </c>
      <c r="B46" s="55">
        <f>5*B28+4*B27+B13+B17+B18/2</f>
        <v>1625.6880112359549</v>
      </c>
      <c r="C46" s="5"/>
      <c r="D46" s="6">
        <f t="shared" si="0"/>
        <v>11.566717303370785</v>
      </c>
      <c r="E46" s="3"/>
      <c r="F46" s="5"/>
      <c r="G46" s="3"/>
    </row>
    <row r="47" spans="1:18" s="9" customFormat="1" ht="15" customHeight="1">
      <c r="A47" s="23" t="s">
        <v>75</v>
      </c>
      <c r="B47" s="55">
        <f>B46+B30+B18/2</f>
        <v>2364.2980674157302</v>
      </c>
      <c r="C47" s="5"/>
      <c r="D47" s="6">
        <f t="shared" si="0"/>
        <v>16.821903820224719</v>
      </c>
      <c r="E47" s="3"/>
      <c r="F47" s="5"/>
      <c r="G47" s="3"/>
    </row>
    <row r="48" spans="1:18" s="9" customFormat="1" ht="15" customHeight="1">
      <c r="A48" s="23" t="s">
        <v>126</v>
      </c>
      <c r="B48" s="55">
        <f>10*B36</f>
        <v>670.69999999999993</v>
      </c>
      <c r="C48" s="5"/>
      <c r="D48" s="6">
        <f t="shared" si="0"/>
        <v>4.7720086767895875</v>
      </c>
      <c r="E48" s="3"/>
      <c r="F48" s="5"/>
      <c r="G48" s="3"/>
    </row>
    <row r="49" spans="1:11" s="9" customFormat="1" ht="15" customHeight="1">
      <c r="A49" s="23" t="s">
        <v>76</v>
      </c>
      <c r="B49" s="55">
        <f>5*B28+4*B27+B13+B17+B18/2+B29+B18/2+B24+5*B25+6*B33+B19</f>
        <v>2613.35202247191</v>
      </c>
      <c r="C49" s="5"/>
      <c r="D49" s="6">
        <f t="shared" si="0"/>
        <v>18.593914606741571</v>
      </c>
      <c r="E49" s="3"/>
      <c r="F49" s="5"/>
      <c r="G49" s="3"/>
    </row>
    <row r="50" spans="1:11" s="9" customFormat="1" ht="30" customHeight="1">
      <c r="A50" s="26" t="s">
        <v>34</v>
      </c>
      <c r="B50" s="27"/>
      <c r="C50" s="5"/>
      <c r="D50" s="6"/>
      <c r="E50" s="3"/>
      <c r="F50" s="5"/>
      <c r="G50" s="3"/>
    </row>
    <row r="51" spans="1:11" s="9" customFormat="1" ht="12.75" thickBot="1">
      <c r="A51" s="34" t="s">
        <v>79</v>
      </c>
      <c r="B51" s="103">
        <f>$B$5/0.82</f>
        <v>140.54878048780489</v>
      </c>
      <c r="C51" s="5"/>
      <c r="D51" s="6">
        <f t="shared" si="0"/>
        <v>1</v>
      </c>
      <c r="E51" s="3"/>
      <c r="F51" s="5"/>
      <c r="G51" s="3"/>
    </row>
    <row r="52" spans="1:11" ht="22.5" customHeight="1">
      <c r="B52" s="8"/>
    </row>
    <row r="53" spans="1:11">
      <c r="A53" s="31" t="s">
        <v>49</v>
      </c>
    </row>
    <row r="54" spans="1:11" ht="12.75">
      <c r="A54" s="7" t="s">
        <v>50</v>
      </c>
      <c r="C54"/>
      <c r="D54"/>
    </row>
    <row r="55" spans="1:11" ht="12.75">
      <c r="A55" s="7" t="s">
        <v>51</v>
      </c>
      <c r="B55" s="7"/>
      <c r="C55"/>
      <c r="D55"/>
    </row>
    <row r="56" spans="1:11" ht="18">
      <c r="A56" s="32" t="s">
        <v>52</v>
      </c>
      <c r="C56"/>
      <c r="D56"/>
      <c r="E56" s="33" t="s">
        <v>91</v>
      </c>
      <c r="F56"/>
      <c r="G56"/>
      <c r="H56"/>
      <c r="I56"/>
      <c r="J56"/>
      <c r="K56"/>
    </row>
    <row r="57" spans="1:11" ht="12.75">
      <c r="C57"/>
      <c r="D57"/>
      <c r="E57" s="33" t="s">
        <v>99</v>
      </c>
      <c r="F57" s="33" t="s">
        <v>104</v>
      </c>
      <c r="G57" s="33" t="s">
        <v>100</v>
      </c>
      <c r="H57" s="33" t="s">
        <v>105</v>
      </c>
      <c r="I57" s="33" t="s">
        <v>106</v>
      </c>
      <c r="J57" s="33" t="s">
        <v>116</v>
      </c>
      <c r="K57" s="33" t="s">
        <v>117</v>
      </c>
    </row>
    <row r="58" spans="1:11" ht="12.75">
      <c r="A58"/>
      <c r="B58"/>
      <c r="C58"/>
      <c r="D58"/>
      <c r="E58" s="12"/>
      <c r="F58" s="12"/>
      <c r="G58" s="12"/>
      <c r="H58" s="12"/>
      <c r="I58" s="12"/>
      <c r="J58" s="12"/>
      <c r="K58" s="12"/>
    </row>
    <row r="59" spans="1:11" ht="12.75">
      <c r="A59" s="215"/>
      <c r="B59"/>
      <c r="C59"/>
      <c r="D59"/>
      <c r="E59" s="4">
        <v>0</v>
      </c>
      <c r="F59" s="4">
        <v>0</v>
      </c>
      <c r="G59" s="4">
        <v>0</v>
      </c>
      <c r="H59" s="4">
        <v>0</v>
      </c>
      <c r="I59" s="4">
        <v>25</v>
      </c>
      <c r="J59" s="4">
        <f>H59+I59</f>
        <v>25</v>
      </c>
      <c r="K59" s="78" t="s">
        <v>94</v>
      </c>
    </row>
    <row r="60" spans="1:11" ht="12.75">
      <c r="A60" s="215"/>
      <c r="B60" s="12"/>
      <c r="C60"/>
      <c r="D60"/>
      <c r="E60" s="4">
        <v>0</v>
      </c>
      <c r="F60" s="4">
        <v>0</v>
      </c>
      <c r="G60" s="4">
        <v>1</v>
      </c>
      <c r="H60" s="4">
        <v>82</v>
      </c>
      <c r="I60" s="4">
        <v>18</v>
      </c>
      <c r="J60" s="4">
        <f t="shared" ref="J60:J66" si="1">H60+I60</f>
        <v>100</v>
      </c>
      <c r="K60" s="78" t="s">
        <v>93</v>
      </c>
    </row>
    <row r="61" spans="1:11" ht="12.75">
      <c r="A61" s="65"/>
      <c r="B61" s="12"/>
      <c r="C61"/>
      <c r="D61"/>
      <c r="E61" s="97">
        <v>0</v>
      </c>
      <c r="F61" s="97">
        <v>1</v>
      </c>
      <c r="G61" s="97">
        <v>0</v>
      </c>
      <c r="H61" s="97">
        <v>0</v>
      </c>
      <c r="I61" s="97">
        <v>25</v>
      </c>
      <c r="J61" s="4">
        <f t="shared" si="1"/>
        <v>25</v>
      </c>
      <c r="K61" s="78" t="s">
        <v>92</v>
      </c>
    </row>
    <row r="62" spans="1:11" ht="12.75">
      <c r="A62" s="4"/>
      <c r="B62" s="12"/>
      <c r="C62"/>
      <c r="D62"/>
      <c r="E62" s="97">
        <v>0</v>
      </c>
      <c r="F62" s="97">
        <v>1</v>
      </c>
      <c r="G62" s="97">
        <v>1</v>
      </c>
      <c r="H62" s="97">
        <v>82</v>
      </c>
      <c r="I62" s="97">
        <v>18</v>
      </c>
      <c r="J62" s="4">
        <f t="shared" si="1"/>
        <v>100</v>
      </c>
      <c r="K62" s="78" t="s">
        <v>95</v>
      </c>
    </row>
    <row r="63" spans="1:11" ht="12.75">
      <c r="A63" s="65"/>
      <c r="B63" s="12"/>
      <c r="C63"/>
      <c r="D63"/>
      <c r="E63" s="4">
        <v>1</v>
      </c>
      <c r="F63" s="4">
        <v>0</v>
      </c>
      <c r="G63" s="4">
        <v>0</v>
      </c>
      <c r="H63" s="4">
        <v>0</v>
      </c>
      <c r="I63" s="4">
        <v>0</v>
      </c>
      <c r="J63" s="4">
        <f t="shared" si="1"/>
        <v>0</v>
      </c>
      <c r="K63" s="78" t="s">
        <v>96</v>
      </c>
    </row>
    <row r="64" spans="1:11" ht="12.75">
      <c r="A64" s="65"/>
      <c r="B64" s="12"/>
      <c r="C64"/>
      <c r="D64"/>
      <c r="E64" s="4">
        <v>1</v>
      </c>
      <c r="F64" s="4">
        <v>0</v>
      </c>
      <c r="G64" s="4">
        <v>1</v>
      </c>
      <c r="H64" s="4">
        <v>82</v>
      </c>
      <c r="I64" s="4">
        <v>0</v>
      </c>
      <c r="J64" s="4">
        <f t="shared" si="1"/>
        <v>82</v>
      </c>
      <c r="K64" s="78" t="s">
        <v>97</v>
      </c>
    </row>
    <row r="65" spans="1:11" ht="15">
      <c r="A65" s="12"/>
      <c r="B65" s="12"/>
      <c r="C65"/>
      <c r="D65"/>
      <c r="E65" s="4">
        <v>1</v>
      </c>
      <c r="F65" s="4">
        <v>1</v>
      </c>
      <c r="G65" s="4">
        <v>0</v>
      </c>
      <c r="H65" s="96">
        <v>0</v>
      </c>
      <c r="I65" s="4">
        <v>18</v>
      </c>
      <c r="J65" s="4">
        <f t="shared" si="1"/>
        <v>18</v>
      </c>
      <c r="K65" s="78" t="s">
        <v>127</v>
      </c>
    </row>
    <row r="66" spans="1:11" ht="12.75">
      <c r="A66" s="12"/>
      <c r="B66" s="12"/>
      <c r="C66"/>
      <c r="D66"/>
      <c r="E66" s="4">
        <v>1</v>
      </c>
      <c r="F66" s="4">
        <v>1</v>
      </c>
      <c r="G66" s="4">
        <v>1</v>
      </c>
      <c r="H66" s="4">
        <v>82</v>
      </c>
      <c r="I66" s="4">
        <v>18</v>
      </c>
      <c r="J66" s="4">
        <f t="shared" si="1"/>
        <v>100</v>
      </c>
      <c r="K66" s="78" t="s">
        <v>98</v>
      </c>
    </row>
    <row r="67" spans="1:11" ht="12.75">
      <c r="A67" s="65"/>
      <c r="B67"/>
      <c r="C67"/>
      <c r="D67"/>
      <c r="E67"/>
      <c r="F67"/>
      <c r="G67"/>
      <c r="H67"/>
      <c r="I67"/>
      <c r="J67"/>
      <c r="K67"/>
    </row>
    <row r="68" spans="1:11" ht="13.5" thickBot="1">
      <c r="A68" s="65"/>
      <c r="B68"/>
      <c r="C68"/>
      <c r="D68"/>
      <c r="E68" s="104" t="s">
        <v>115</v>
      </c>
      <c r="F68"/>
      <c r="G68"/>
      <c r="H68"/>
      <c r="I68"/>
      <c r="J68"/>
      <c r="K68"/>
    </row>
    <row r="69" spans="1:11" ht="12.75">
      <c r="A69"/>
      <c r="B69"/>
      <c r="C69"/>
      <c r="D69"/>
      <c r="E69" s="80"/>
      <c r="F69" s="81"/>
      <c r="G69" s="82" t="s">
        <v>99</v>
      </c>
      <c r="H69" s="82"/>
      <c r="I69" s="83"/>
      <c r="J69" s="4"/>
      <c r="K69" s="78"/>
    </row>
    <row r="70" spans="1:11" ht="12.75">
      <c r="A70"/>
      <c r="B70"/>
      <c r="C70"/>
      <c r="D70"/>
      <c r="E70" s="84"/>
      <c r="F70" s="85">
        <v>0</v>
      </c>
      <c r="G70" s="86">
        <v>0</v>
      </c>
      <c r="H70" s="86">
        <v>82</v>
      </c>
      <c r="I70" s="87">
        <v>82</v>
      </c>
      <c r="J70" s="4"/>
      <c r="K70" s="78"/>
    </row>
    <row r="71" spans="1:11" ht="12.75">
      <c r="A71"/>
      <c r="B71"/>
      <c r="C71"/>
      <c r="D71"/>
      <c r="E71" s="88" t="s">
        <v>101</v>
      </c>
      <c r="F71" s="85">
        <v>0</v>
      </c>
      <c r="G71" s="86">
        <v>0</v>
      </c>
      <c r="H71" s="86">
        <v>82</v>
      </c>
      <c r="I71" s="87">
        <v>82</v>
      </c>
      <c r="J71" s="4"/>
      <c r="K71" s="78"/>
    </row>
    <row r="72" spans="1:11" ht="13.5" thickBot="1">
      <c r="A72"/>
      <c r="B72"/>
      <c r="C72"/>
      <c r="D72"/>
      <c r="E72" s="89"/>
      <c r="F72" s="90"/>
      <c r="G72" s="91"/>
      <c r="H72" s="92" t="s">
        <v>100</v>
      </c>
      <c r="I72" s="93"/>
      <c r="J72" s="4"/>
      <c r="K72" s="78"/>
    </row>
    <row r="73" spans="1:11" ht="12.75">
      <c r="A73"/>
      <c r="B73"/>
      <c r="C73"/>
      <c r="D73"/>
      <c r="E73" t="s">
        <v>102</v>
      </c>
      <c r="F73" s="94" t="s">
        <v>129</v>
      </c>
      <c r="G73" s="12"/>
      <c r="H73" s="4"/>
      <c r="I73" s="4"/>
      <c r="J73" s="4"/>
      <c r="K73" s="78"/>
    </row>
    <row r="74" spans="1:11" ht="12.75">
      <c r="A74"/>
      <c r="B74"/>
      <c r="C74"/>
      <c r="D74"/>
      <c r="E74"/>
      <c r="F74" s="94" t="s">
        <v>130</v>
      </c>
      <c r="G74" s="12"/>
      <c r="H74" s="4"/>
      <c r="I74" s="4"/>
      <c r="J74" s="4"/>
      <c r="K74" s="78"/>
    </row>
    <row r="75" spans="1:11" ht="12.75">
      <c r="A75"/>
      <c r="B75"/>
      <c r="C75"/>
      <c r="D75"/>
      <c r="E75"/>
      <c r="G75" s="12"/>
      <c r="H75" s="4"/>
      <c r="I75" s="4"/>
      <c r="J75" s="4"/>
      <c r="K75" s="78"/>
    </row>
    <row r="76" spans="1:11" ht="12.75">
      <c r="A76"/>
      <c r="B76"/>
      <c r="C76"/>
      <c r="D76"/>
      <c r="E76"/>
      <c r="F76" s="94"/>
      <c r="G76" s="12"/>
      <c r="H76" s="4"/>
      <c r="I76" s="4"/>
      <c r="J76" s="4"/>
      <c r="K76" s="78"/>
    </row>
    <row r="77" spans="1:11" ht="13.5" thickBot="1">
      <c r="A77"/>
      <c r="B77"/>
      <c r="C77"/>
      <c r="D77"/>
      <c r="E77" s="104" t="s">
        <v>114</v>
      </c>
      <c r="F77" s="65"/>
      <c r="G77" s="12"/>
      <c r="H77" s="4"/>
      <c r="I77" s="4"/>
      <c r="J77" s="4"/>
      <c r="K77" s="78"/>
    </row>
    <row r="78" spans="1:11" ht="12.75">
      <c r="A78"/>
      <c r="B78"/>
      <c r="C78"/>
      <c r="D78"/>
      <c r="E78" s="80"/>
      <c r="F78" s="81"/>
      <c r="G78" s="82" t="s">
        <v>99</v>
      </c>
      <c r="H78" s="82"/>
      <c r="I78" s="83"/>
      <c r="J78"/>
      <c r="K78"/>
    </row>
    <row r="79" spans="1:11" ht="12.75">
      <c r="A79"/>
      <c r="B79"/>
      <c r="C79"/>
      <c r="D79"/>
      <c r="E79" s="84"/>
      <c r="F79" s="85">
        <v>25</v>
      </c>
      <c r="G79" s="86">
        <v>0</v>
      </c>
      <c r="H79" s="86">
        <v>0</v>
      </c>
      <c r="I79" s="87">
        <v>18</v>
      </c>
      <c r="J79"/>
      <c r="K79"/>
    </row>
    <row r="80" spans="1:11" ht="12.75">
      <c r="A80"/>
      <c r="B80"/>
      <c r="C80"/>
      <c r="D80"/>
      <c r="E80" s="88" t="s">
        <v>101</v>
      </c>
      <c r="F80" s="85">
        <v>25</v>
      </c>
      <c r="G80" s="86">
        <v>18</v>
      </c>
      <c r="H80" s="86">
        <v>18</v>
      </c>
      <c r="I80" s="87">
        <v>18</v>
      </c>
      <c r="J80"/>
      <c r="K80"/>
    </row>
    <row r="81" spans="1:11" ht="13.5" thickBot="1">
      <c r="A81"/>
      <c r="B81"/>
      <c r="C81"/>
      <c r="D81"/>
      <c r="E81" s="89"/>
      <c r="F81" s="90"/>
      <c r="G81" s="91"/>
      <c r="H81" s="92" t="s">
        <v>100</v>
      </c>
      <c r="I81" s="93"/>
      <c r="J81"/>
      <c r="K81"/>
    </row>
    <row r="82" spans="1:11" ht="12.75">
      <c r="A82"/>
      <c r="B82"/>
      <c r="C82"/>
      <c r="D82"/>
      <c r="E82" t="s">
        <v>102</v>
      </c>
      <c r="F82" s="94" t="s">
        <v>107</v>
      </c>
      <c r="G82" s="12"/>
      <c r="H82" s="4"/>
      <c r="I82" s="4"/>
      <c r="J82"/>
      <c r="K82"/>
    </row>
    <row r="83" spans="1:11" ht="12.75">
      <c r="A83"/>
      <c r="B83"/>
      <c r="C83"/>
      <c r="D83"/>
      <c r="E83"/>
      <c r="F83" s="94" t="s">
        <v>108</v>
      </c>
      <c r="G83" s="12"/>
      <c r="H83" s="4"/>
      <c r="I83" s="4"/>
      <c r="J83"/>
      <c r="K83"/>
    </row>
    <row r="84" spans="1:11" ht="12.75">
      <c r="A84"/>
      <c r="B84"/>
      <c r="C84"/>
      <c r="D84"/>
      <c r="E84"/>
      <c r="F84" t="s">
        <v>103</v>
      </c>
      <c r="G84"/>
      <c r="H84"/>
      <c r="I84"/>
      <c r="J84"/>
      <c r="K84"/>
    </row>
    <row r="85" spans="1:11" ht="12.75">
      <c r="A85"/>
      <c r="B85"/>
      <c r="C85"/>
      <c r="D85"/>
      <c r="E85"/>
      <c r="F85"/>
      <c r="G85"/>
      <c r="H85"/>
      <c r="I85"/>
      <c r="J85"/>
      <c r="K85"/>
    </row>
    <row r="86" spans="1:11" ht="13.5" thickBot="1">
      <c r="A86"/>
      <c r="B86"/>
      <c r="C86"/>
      <c r="D86"/>
      <c r="E86" s="104" t="s">
        <v>113</v>
      </c>
      <c r="F86"/>
      <c r="G86"/>
      <c r="H86"/>
      <c r="I86"/>
      <c r="J86"/>
      <c r="K86"/>
    </row>
    <row r="87" spans="1:11" ht="12.75">
      <c r="A87"/>
      <c r="B87"/>
      <c r="C87"/>
      <c r="D87"/>
      <c r="E87" s="80"/>
      <c r="F87" s="81"/>
      <c r="G87" s="82" t="s">
        <v>99</v>
      </c>
      <c r="H87" s="82"/>
      <c r="I87" s="83"/>
      <c r="J87"/>
      <c r="K87"/>
    </row>
    <row r="88" spans="1:11" ht="12.75">
      <c r="A88"/>
      <c r="B88"/>
      <c r="C88"/>
      <c r="D88"/>
      <c r="E88" s="84"/>
      <c r="F88" s="85">
        <f t="shared" ref="F88:I89" si="2">F70+F79</f>
        <v>25</v>
      </c>
      <c r="G88" s="85">
        <f t="shared" si="2"/>
        <v>0</v>
      </c>
      <c r="H88" s="85">
        <f t="shared" si="2"/>
        <v>82</v>
      </c>
      <c r="I88" s="98">
        <f t="shared" si="2"/>
        <v>100</v>
      </c>
      <c r="J88"/>
      <c r="K88"/>
    </row>
    <row r="89" spans="1:11" ht="12.75">
      <c r="A89"/>
      <c r="B89"/>
      <c r="C89"/>
      <c r="D89"/>
      <c r="E89" s="88" t="s">
        <v>101</v>
      </c>
      <c r="F89" s="85">
        <f t="shared" si="2"/>
        <v>25</v>
      </c>
      <c r="G89" s="85">
        <f t="shared" si="2"/>
        <v>18</v>
      </c>
      <c r="H89" s="85">
        <f t="shared" si="2"/>
        <v>100</v>
      </c>
      <c r="I89" s="98">
        <f t="shared" si="2"/>
        <v>100</v>
      </c>
      <c r="J89"/>
      <c r="K89"/>
    </row>
    <row r="90" spans="1:11" ht="13.5" thickBot="1">
      <c r="A90"/>
      <c r="B90"/>
      <c r="C90"/>
      <c r="D90"/>
      <c r="E90" s="89"/>
      <c r="F90" s="90"/>
      <c r="G90" s="91"/>
      <c r="H90" s="92" t="s">
        <v>100</v>
      </c>
      <c r="I90" s="93"/>
      <c r="J90"/>
      <c r="K90"/>
    </row>
    <row r="91" spans="1:11" ht="12.75">
      <c r="A91"/>
      <c r="B91"/>
      <c r="C91"/>
      <c r="D91"/>
      <c r="E91" t="s">
        <v>102</v>
      </c>
      <c r="F91" s="94" t="s">
        <v>111</v>
      </c>
      <c r="G91" s="12"/>
      <c r="H91" s="4"/>
      <c r="I91" s="4"/>
      <c r="J91"/>
      <c r="K91"/>
    </row>
    <row r="92" spans="1:11" ht="12.75">
      <c r="A92"/>
      <c r="B92"/>
      <c r="C92"/>
      <c r="D92"/>
      <c r="E92"/>
      <c r="F92" s="94" t="s">
        <v>131</v>
      </c>
      <c r="G92" s="12"/>
      <c r="H92" s="4"/>
      <c r="I92" s="4"/>
      <c r="J92"/>
      <c r="K92"/>
    </row>
    <row r="93" spans="1:11" ht="12.75">
      <c r="A93"/>
      <c r="B93"/>
      <c r="C93"/>
      <c r="D93"/>
      <c r="E93"/>
      <c r="F93" s="33" t="s">
        <v>132</v>
      </c>
      <c r="G93"/>
      <c r="H93"/>
      <c r="I93"/>
      <c r="J93"/>
      <c r="K93"/>
    </row>
    <row r="94" spans="1:11" ht="12.75">
      <c r="A94"/>
      <c r="B94"/>
      <c r="C94"/>
      <c r="D94"/>
      <c r="E94"/>
      <c r="F94" s="33" t="s">
        <v>133</v>
      </c>
      <c r="G94"/>
      <c r="H94"/>
      <c r="I94"/>
      <c r="J94"/>
      <c r="K94"/>
    </row>
    <row r="95" spans="1:11" ht="12.75">
      <c r="A95"/>
      <c r="B95"/>
      <c r="C95"/>
      <c r="D95"/>
      <c r="E95"/>
      <c r="F95" s="33" t="s">
        <v>112</v>
      </c>
      <c r="G95"/>
      <c r="H95"/>
      <c r="I95"/>
      <c r="J95"/>
      <c r="K95"/>
    </row>
    <row r="96" spans="1:11" ht="12.75">
      <c r="A96"/>
      <c r="B96"/>
      <c r="C96"/>
      <c r="D96" s="33"/>
      <c r="E96"/>
      <c r="G96"/>
      <c r="H96"/>
      <c r="I96"/>
      <c r="J96"/>
      <c r="K96"/>
    </row>
    <row r="97" spans="1:11" ht="12.75">
      <c r="A97"/>
      <c r="B97"/>
      <c r="C97"/>
      <c r="D97"/>
      <c r="E97"/>
      <c r="G97"/>
      <c r="H97"/>
      <c r="I97"/>
      <c r="J97"/>
      <c r="K97"/>
    </row>
  </sheetData>
  <sheetProtection sheet="1" objects="1" scenarios="1"/>
  <sortState xmlns:xlrd2="http://schemas.microsoft.com/office/spreadsheetml/2017/richdata2" ref="A14:F36">
    <sortCondition ref="A14:A36"/>
  </sortState>
  <mergeCells count="4">
    <mergeCell ref="A2:B2"/>
    <mergeCell ref="A1:B1"/>
    <mergeCell ref="A59:A60"/>
    <mergeCell ref="F42:R45"/>
  </mergeCells>
  <phoneticPr fontId="2" type="noConversion"/>
  <pageMargins left="0.74803149606299213" right="0.74803149606299213" top="0.39370078740157483" bottom="0.98425196850393704" header="0.51181102362204722" footer="0.51181102362204722"/>
  <pageSetup paperSize="9" scale="7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Procedure</vt:lpstr>
      <vt:lpstr>General Order Form</vt:lpstr>
      <vt:lpstr>Rate</vt:lpstr>
      <vt:lpstr>Member</vt:lpstr>
      <vt:lpstr>Private</vt:lpstr>
      <vt:lpstr>Technician</vt:lpstr>
    </vt:vector>
  </TitlesOfParts>
  <Company>Wageningen 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Bakker</dc:creator>
  <cp:lastModifiedBy>Bakker, Gerben</cp:lastModifiedBy>
  <cp:lastPrinted>2014-04-23T12:40:59Z</cp:lastPrinted>
  <dcterms:created xsi:type="dcterms:W3CDTF">2006-11-30T13:05:02Z</dcterms:created>
  <dcterms:modified xsi:type="dcterms:W3CDTF">2024-10-17T14:35:07Z</dcterms:modified>
</cp:coreProperties>
</file>